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89F51439-EAD7-4B90-9186-67C3B5228F49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SAŽETAK" sheetId="1" r:id="rId1"/>
    <sheet name="Račun financiranja" sheetId="14" r:id="rId2"/>
    <sheet name=" Račun prihoda i rashoda ekonom" sheetId="12" r:id="rId3"/>
    <sheet name="Rashodi prema izvorima finan" sheetId="5" r:id="rId4"/>
    <sheet name="Rashodi prema funkcijskoj k " sheetId="8" r:id="rId5"/>
    <sheet name="POSEBNI DIO" sheetId="7" r:id="rId6"/>
    <sheet name="List1" sheetId="15" r:id="rId7"/>
  </sheets>
  <definedNames>
    <definedName name="_xlnm.Print_Titles" localSheetId="5">'POSEBNI DIO'!$6:$7</definedName>
    <definedName name="_xlnm.Print_Area" localSheetId="2">' Račun prihoda i rashoda ekonom'!$B$1:$M$133</definedName>
    <definedName name="_xlnm.Print_Area" localSheetId="5">'POSEBNI DIO'!$B$1:$H$245</definedName>
    <definedName name="_xlnm.Print_Area" localSheetId="0">SAŽETAK!$B$2:$L$42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6" i="7" l="1"/>
  <c r="K10" i="14" l="1"/>
  <c r="L10" i="14"/>
  <c r="G11" i="14"/>
  <c r="G9" i="14" s="1"/>
  <c r="H11" i="14"/>
  <c r="H10" i="14" s="1"/>
  <c r="H9" i="14" s="1"/>
  <c r="I11" i="14"/>
  <c r="I9" i="14" s="1"/>
  <c r="J11" i="14"/>
  <c r="H13" i="14"/>
  <c r="J13" i="14"/>
  <c r="I15" i="14"/>
  <c r="G15" i="14"/>
  <c r="H17" i="14"/>
  <c r="H16" i="14" s="1"/>
  <c r="H15" i="14" s="1"/>
  <c r="J17" i="14"/>
  <c r="J15" i="14" s="1"/>
  <c r="F17" i="5" l="1"/>
  <c r="G13" i="12" l="1"/>
  <c r="H13" i="12"/>
  <c r="I12" i="12"/>
  <c r="K13" i="12"/>
  <c r="K14" i="12"/>
  <c r="L14" i="12"/>
  <c r="K15" i="12"/>
  <c r="G16" i="12"/>
  <c r="H16" i="12"/>
  <c r="I16" i="12"/>
  <c r="J16" i="12"/>
  <c r="K17" i="12"/>
  <c r="K18" i="12"/>
  <c r="G20" i="12"/>
  <c r="G19" i="12" s="1"/>
  <c r="H20" i="12"/>
  <c r="H19" i="12" s="1"/>
  <c r="I20" i="12"/>
  <c r="I19" i="12" s="1"/>
  <c r="K21" i="12"/>
  <c r="L21" i="12"/>
  <c r="G23" i="12"/>
  <c r="H23" i="12"/>
  <c r="H22" i="12" s="1"/>
  <c r="I23" i="12"/>
  <c r="J23" i="12"/>
  <c r="K24" i="12"/>
  <c r="L24" i="12"/>
  <c r="G25" i="12"/>
  <c r="H25" i="12"/>
  <c r="I25" i="12"/>
  <c r="J25" i="12"/>
  <c r="K26" i="12"/>
  <c r="L26" i="12"/>
  <c r="G28" i="12"/>
  <c r="H29" i="12"/>
  <c r="H28" i="12" s="1"/>
  <c r="I29" i="12"/>
  <c r="J29" i="12"/>
  <c r="J28" i="12" s="1"/>
  <c r="K29" i="12"/>
  <c r="K30" i="12"/>
  <c r="L30" i="12"/>
  <c r="L31" i="12"/>
  <c r="G34" i="12"/>
  <c r="G33" i="12" s="1"/>
  <c r="H34" i="12"/>
  <c r="H33" i="12" s="1"/>
  <c r="I34" i="12"/>
  <c r="I33" i="12" s="1"/>
  <c r="J34" i="12"/>
  <c r="J33" i="12" s="1"/>
  <c r="G38" i="12"/>
  <c r="G37" i="12" s="1"/>
  <c r="G36" i="12" s="1"/>
  <c r="H38" i="12"/>
  <c r="H37" i="12" s="1"/>
  <c r="H36" i="12" s="1"/>
  <c r="I38" i="12"/>
  <c r="I37" i="12" s="1"/>
  <c r="I36" i="12" s="1"/>
  <c r="J38" i="12"/>
  <c r="J37" i="12" s="1"/>
  <c r="J36" i="12" s="1"/>
  <c r="I41" i="12"/>
  <c r="I40" i="12" s="1"/>
  <c r="G42" i="12"/>
  <c r="G41" i="12" s="1"/>
  <c r="G40" i="12" s="1"/>
  <c r="H42" i="12"/>
  <c r="H41" i="12" s="1"/>
  <c r="H40" i="12" s="1"/>
  <c r="I42" i="12"/>
  <c r="J42" i="12"/>
  <c r="J41" i="12" s="1"/>
  <c r="G45" i="12"/>
  <c r="G44" i="12" s="1"/>
  <c r="H45" i="12"/>
  <c r="H44" i="12" s="1"/>
  <c r="I45" i="12"/>
  <c r="I44" i="12" s="1"/>
  <c r="J45" i="12"/>
  <c r="L47" i="12"/>
  <c r="G55" i="12"/>
  <c r="H55" i="12"/>
  <c r="I55" i="12"/>
  <c r="K56" i="12"/>
  <c r="L56" i="12"/>
  <c r="G59" i="12"/>
  <c r="H59" i="12"/>
  <c r="I59" i="12"/>
  <c r="J59" i="12"/>
  <c r="K60" i="12"/>
  <c r="L60" i="12"/>
  <c r="G61" i="12"/>
  <c r="I61" i="12"/>
  <c r="J61" i="12"/>
  <c r="L61" i="12" s="1"/>
  <c r="H62" i="12"/>
  <c r="H61" i="12" s="1"/>
  <c r="K62" i="12"/>
  <c r="L62" i="12"/>
  <c r="G65" i="12"/>
  <c r="J65" i="12"/>
  <c r="K65" i="12" s="1"/>
  <c r="H66" i="12"/>
  <c r="I65" i="12"/>
  <c r="K66" i="12"/>
  <c r="K67" i="12"/>
  <c r="L67" i="12"/>
  <c r="H68" i="12"/>
  <c r="K68" i="12"/>
  <c r="L68" i="12"/>
  <c r="H69" i="12"/>
  <c r="K69" i="12"/>
  <c r="L69" i="12"/>
  <c r="G70" i="12"/>
  <c r="J70" i="12"/>
  <c r="H71" i="12"/>
  <c r="K71" i="12"/>
  <c r="H72" i="12"/>
  <c r="L72" i="12"/>
  <c r="K72" i="12"/>
  <c r="H73" i="12"/>
  <c r="K73" i="12"/>
  <c r="L73" i="12"/>
  <c r="H74" i="12"/>
  <c r="L74" i="12"/>
  <c r="K74" i="12"/>
  <c r="H75" i="12"/>
  <c r="L75" i="12"/>
  <c r="K75" i="12"/>
  <c r="H76" i="12"/>
  <c r="K76" i="12"/>
  <c r="L76" i="12"/>
  <c r="G77" i="12"/>
  <c r="H78" i="12"/>
  <c r="K78" i="12"/>
  <c r="L78" i="12"/>
  <c r="H79" i="12"/>
  <c r="K79" i="12"/>
  <c r="L79" i="12"/>
  <c r="K80" i="12"/>
  <c r="L80" i="12"/>
  <c r="H81" i="12"/>
  <c r="K81" i="12"/>
  <c r="L81" i="12"/>
  <c r="H82" i="12"/>
  <c r="L82" i="12"/>
  <c r="K82" i="12"/>
  <c r="H83" i="12"/>
  <c r="K83" i="12"/>
  <c r="L83" i="12"/>
  <c r="H84" i="12"/>
  <c r="L84" i="12"/>
  <c r="K84" i="12"/>
  <c r="H85" i="12"/>
  <c r="K85" i="12"/>
  <c r="L85" i="12"/>
  <c r="H86" i="12"/>
  <c r="L86" i="12"/>
  <c r="K86" i="12"/>
  <c r="H87" i="12"/>
  <c r="I87" i="12"/>
  <c r="J87" i="12"/>
  <c r="J89" i="12"/>
  <c r="K90" i="12"/>
  <c r="L90" i="12"/>
  <c r="H91" i="12"/>
  <c r="L91" i="12"/>
  <c r="L92" i="12"/>
  <c r="H93" i="12"/>
  <c r="K93" i="12"/>
  <c r="L93" i="12"/>
  <c r="H94" i="12"/>
  <c r="L94" i="12"/>
  <c r="K94" i="12"/>
  <c r="H95" i="12"/>
  <c r="L95" i="12"/>
  <c r="K95" i="12"/>
  <c r="G97" i="12"/>
  <c r="K97" i="12" s="1"/>
  <c r="J97" i="12"/>
  <c r="H98" i="12"/>
  <c r="H97" i="12" s="1"/>
  <c r="I98" i="12"/>
  <c r="I97" i="12" s="1"/>
  <c r="K98" i="12"/>
  <c r="G99" i="12"/>
  <c r="H99" i="12"/>
  <c r="I99" i="12"/>
  <c r="J99" i="12"/>
  <c r="K100" i="12"/>
  <c r="L100" i="12"/>
  <c r="L101" i="12"/>
  <c r="G103" i="12"/>
  <c r="G102" i="12" s="1"/>
  <c r="H103" i="12"/>
  <c r="H102" i="12" s="1"/>
  <c r="I103" i="12"/>
  <c r="J103" i="12"/>
  <c r="J102" i="12" s="1"/>
  <c r="K104" i="12"/>
  <c r="L104" i="12"/>
  <c r="G105" i="12"/>
  <c r="G106" i="12"/>
  <c r="H106" i="12"/>
  <c r="H105" i="12" s="1"/>
  <c r="I106" i="12"/>
  <c r="I105" i="12" s="1"/>
  <c r="J106" i="12"/>
  <c r="L107" i="12"/>
  <c r="G110" i="12"/>
  <c r="J110" i="12"/>
  <c r="H111" i="12"/>
  <c r="H110" i="12" s="1"/>
  <c r="H109" i="12" s="1"/>
  <c r="I110" i="12"/>
  <c r="L111" i="12"/>
  <c r="K112" i="12"/>
  <c r="L112" i="12"/>
  <c r="K113" i="12"/>
  <c r="L113" i="12"/>
  <c r="G114" i="12"/>
  <c r="K114" i="12" s="1"/>
  <c r="H114" i="12"/>
  <c r="J114" i="12"/>
  <c r="I115" i="12"/>
  <c r="I114" i="12" s="1"/>
  <c r="K115" i="12"/>
  <c r="G116" i="12"/>
  <c r="H116" i="12"/>
  <c r="I116" i="12"/>
  <c r="L116" i="12" s="1"/>
  <c r="J116" i="12"/>
  <c r="L117" i="12"/>
  <c r="G119" i="12"/>
  <c r="G118" i="12" s="1"/>
  <c r="H119" i="12"/>
  <c r="H118" i="12" s="1"/>
  <c r="J119" i="12"/>
  <c r="J118" i="12" s="1"/>
  <c r="I119" i="12"/>
  <c r="G122" i="12"/>
  <c r="G121" i="12" s="1"/>
  <c r="H122" i="12"/>
  <c r="H121" i="12" s="1"/>
  <c r="I122" i="12"/>
  <c r="I121" i="12" s="1"/>
  <c r="J122" i="12"/>
  <c r="J121" i="12" s="1"/>
  <c r="L122" i="12"/>
  <c r="L123" i="12"/>
  <c r="H124" i="12"/>
  <c r="L124" i="12"/>
  <c r="H70" i="12" l="1"/>
  <c r="L115" i="12"/>
  <c r="K103" i="12"/>
  <c r="K99" i="12"/>
  <c r="H65" i="12"/>
  <c r="I22" i="12"/>
  <c r="K77" i="12"/>
  <c r="K70" i="12"/>
  <c r="K55" i="12"/>
  <c r="L55" i="12"/>
  <c r="L103" i="12"/>
  <c r="L97" i="12"/>
  <c r="L59" i="12"/>
  <c r="L29" i="12"/>
  <c r="K23" i="12"/>
  <c r="K20" i="12"/>
  <c r="K16" i="12"/>
  <c r="L98" i="12"/>
  <c r="H89" i="12"/>
  <c r="I70" i="12"/>
  <c r="L70" i="12" s="1"/>
  <c r="K61" i="12"/>
  <c r="H54" i="12"/>
  <c r="K25" i="12"/>
  <c r="L23" i="12"/>
  <c r="I77" i="12"/>
  <c r="L77" i="12" s="1"/>
  <c r="L66" i="12"/>
  <c r="K59" i="12"/>
  <c r="G54" i="12"/>
  <c r="L20" i="12"/>
  <c r="L13" i="12"/>
  <c r="L120" i="12"/>
  <c r="L99" i="12"/>
  <c r="H96" i="12"/>
  <c r="K89" i="12"/>
  <c r="L121" i="12"/>
  <c r="L114" i="12"/>
  <c r="K110" i="12"/>
  <c r="G96" i="12"/>
  <c r="J96" i="12"/>
  <c r="I89" i="12"/>
  <c r="L89" i="12" s="1"/>
  <c r="L71" i="12"/>
  <c r="L45" i="12"/>
  <c r="G22" i="12"/>
  <c r="H12" i="12"/>
  <c r="H11" i="12" s="1"/>
  <c r="H10" i="12" s="1"/>
  <c r="I54" i="12"/>
  <c r="K45" i="12"/>
  <c r="L25" i="12"/>
  <c r="G12" i="12"/>
  <c r="L119" i="12"/>
  <c r="I118" i="12"/>
  <c r="L118" i="12" s="1"/>
  <c r="H108" i="12"/>
  <c r="G109" i="12"/>
  <c r="G108" i="12" s="1"/>
  <c r="J109" i="12"/>
  <c r="J105" i="12"/>
  <c r="L105" i="12" s="1"/>
  <c r="L106" i="12"/>
  <c r="K102" i="12"/>
  <c r="G64" i="12"/>
  <c r="J40" i="12"/>
  <c r="K28" i="12"/>
  <c r="I109" i="12"/>
  <c r="L110" i="12"/>
  <c r="I102" i="12"/>
  <c r="L102" i="12" s="1"/>
  <c r="I96" i="12"/>
  <c r="H77" i="12"/>
  <c r="L65" i="12"/>
  <c r="J44" i="12"/>
  <c r="I28" i="12"/>
  <c r="L96" i="12" l="1"/>
  <c r="G53" i="12"/>
  <c r="L28" i="12"/>
  <c r="H64" i="12"/>
  <c r="H53" i="12" s="1"/>
  <c r="H52" i="12" s="1"/>
  <c r="K96" i="12"/>
  <c r="I64" i="12"/>
  <c r="I53" i="12" s="1"/>
  <c r="K12" i="12"/>
  <c r="L12" i="12"/>
  <c r="K109" i="12"/>
  <c r="J108" i="12"/>
  <c r="L109" i="12"/>
  <c r="K22" i="12"/>
  <c r="L22" i="12"/>
  <c r="K44" i="12"/>
  <c r="L44" i="12"/>
  <c r="K64" i="12"/>
  <c r="K19" i="12"/>
  <c r="L19" i="12"/>
  <c r="K54" i="12"/>
  <c r="L54" i="12"/>
  <c r="L64" i="12" l="1"/>
  <c r="K53" i="12"/>
  <c r="J52" i="12"/>
  <c r="L53" i="12"/>
  <c r="K11" i="12"/>
  <c r="L11" i="12"/>
  <c r="K108" i="12"/>
  <c r="L108" i="12"/>
  <c r="K52" i="12" l="1"/>
  <c r="L52" i="12"/>
  <c r="K10" i="12"/>
  <c r="L10" i="12"/>
  <c r="H188" i="7" l="1"/>
  <c r="H88" i="7"/>
  <c r="F68" i="7"/>
  <c r="H62" i="7" l="1"/>
  <c r="H63" i="7"/>
  <c r="H64" i="7"/>
  <c r="H66" i="7"/>
  <c r="F239" i="7" l="1"/>
  <c r="G233" i="7"/>
  <c r="F233" i="7"/>
  <c r="F227" i="7"/>
  <c r="G227" i="7"/>
  <c r="F104" i="7" l="1"/>
  <c r="G104" i="7"/>
  <c r="G139" i="7" l="1"/>
  <c r="G219" i="7"/>
  <c r="G218" i="7" s="1"/>
  <c r="G127" i="7" l="1"/>
  <c r="F139" i="7"/>
  <c r="G167" i="7"/>
  <c r="G174" i="7"/>
  <c r="F174" i="7"/>
  <c r="G177" i="7"/>
  <c r="F177" i="7"/>
  <c r="G182" i="7"/>
  <c r="F182" i="7"/>
  <c r="H183" i="7"/>
  <c r="H155" i="7"/>
  <c r="G133" i="7"/>
  <c r="F133" i="7"/>
  <c r="H137" i="7"/>
  <c r="G125" i="7"/>
  <c r="F125" i="7"/>
  <c r="H126" i="7"/>
  <c r="G229" i="7"/>
  <c r="F229" i="7"/>
  <c r="G232" i="7"/>
  <c r="F232" i="7"/>
  <c r="G239" i="7"/>
  <c r="F238" i="7"/>
  <c r="G212" i="7"/>
  <c r="F212" i="7"/>
  <c r="F211" i="7" s="1"/>
  <c r="F210" i="7" s="1"/>
  <c r="G73" i="7"/>
  <c r="F73" i="7"/>
  <c r="H60" i="7"/>
  <c r="H37" i="7"/>
  <c r="H33" i="7"/>
  <c r="H182" i="7" l="1"/>
  <c r="G238" i="7"/>
  <c r="F173" i="7"/>
  <c r="G138" i="7"/>
  <c r="G173" i="7"/>
  <c r="H125" i="7"/>
  <c r="G211" i="7"/>
  <c r="J32" i="1"/>
  <c r="I29" i="1"/>
  <c r="H29" i="1"/>
  <c r="H21" i="1"/>
  <c r="H32" i="1"/>
  <c r="H61" i="7" l="1"/>
  <c r="G22" i="5"/>
  <c r="L20" i="1"/>
  <c r="K20" i="1"/>
  <c r="K19" i="1"/>
  <c r="K30" i="1" l="1"/>
  <c r="L30" i="1"/>
  <c r="L32" i="1" s="1"/>
  <c r="L28" i="1"/>
  <c r="L19" i="1"/>
  <c r="L16" i="1"/>
  <c r="K16" i="1"/>
  <c r="J21" i="1"/>
  <c r="K21" i="1" s="1"/>
  <c r="L21" i="1" l="1"/>
  <c r="G226" i="7"/>
  <c r="G225" i="7" s="1"/>
  <c r="G217" i="7"/>
  <c r="G216" i="7" s="1"/>
  <c r="G208" i="7"/>
  <c r="G207" i="7" s="1"/>
  <c r="G206" i="7" s="1"/>
  <c r="G201" i="7"/>
  <c r="G200" i="7" s="1"/>
  <c r="G199" i="7" s="1"/>
  <c r="G197" i="7"/>
  <c r="G196" i="7" s="1"/>
  <c r="G195" i="7" s="1"/>
  <c r="G193" i="7"/>
  <c r="G192" i="7" s="1"/>
  <c r="G191" i="7" s="1"/>
  <c r="G171" i="7"/>
  <c r="G132" i="7"/>
  <c r="G101" i="7"/>
  <c r="G93" i="7"/>
  <c r="G92" i="7" s="1"/>
  <c r="G90" i="7"/>
  <c r="G85" i="7"/>
  <c r="G68" i="7"/>
  <c r="G59" i="7"/>
  <c r="G49" i="7"/>
  <c r="G54" i="7" l="1"/>
  <c r="G100" i="7"/>
  <c r="G79" i="7"/>
  <c r="G78" i="7" s="1"/>
  <c r="G166" i="7"/>
  <c r="G23" i="7"/>
  <c r="G22" i="7" s="1"/>
  <c r="G224" i="7"/>
  <c r="F43" i="5" l="1"/>
  <c r="F41" i="5"/>
  <c r="F37" i="5"/>
  <c r="F33" i="5"/>
  <c r="F31" i="5"/>
  <c r="F27" i="5"/>
  <c r="C13" i="5" l="1"/>
  <c r="C11" i="5"/>
  <c r="C7" i="5"/>
  <c r="J29" i="1" l="1"/>
  <c r="L29" i="1" s="1"/>
  <c r="H18" i="1"/>
  <c r="H22" i="1" s="1"/>
  <c r="H33" i="1" s="1"/>
  <c r="I18" i="1"/>
  <c r="J18" i="1"/>
  <c r="J22" i="1" l="1"/>
  <c r="K18" i="1"/>
  <c r="L18" i="1"/>
  <c r="K31" i="1"/>
  <c r="K32" i="1" s="1"/>
  <c r="D43" i="5"/>
  <c r="D41" i="5"/>
  <c r="D37" i="5"/>
  <c r="D33" i="5"/>
  <c r="D31" i="5"/>
  <c r="D27" i="5"/>
  <c r="L33" i="1" l="1"/>
  <c r="K22" i="1"/>
  <c r="L22" i="1"/>
  <c r="K33" i="1" l="1"/>
  <c r="H8" i="8"/>
  <c r="G8" i="8"/>
  <c r="D7" i="8"/>
  <c r="D6" i="8" s="1"/>
  <c r="E7" i="8"/>
  <c r="E6" i="8" s="1"/>
  <c r="F7" i="8"/>
  <c r="C7" i="8"/>
  <c r="C6" i="8" s="1"/>
  <c r="H7" i="8" l="1"/>
  <c r="G7" i="8"/>
  <c r="E43" i="5"/>
  <c r="C43" i="5"/>
  <c r="H42" i="5"/>
  <c r="G42" i="5"/>
  <c r="E41" i="5"/>
  <c r="H41" i="5" s="1"/>
  <c r="C41" i="5"/>
  <c r="H39" i="5"/>
  <c r="H38" i="5"/>
  <c r="G38" i="5"/>
  <c r="E37" i="5"/>
  <c r="C37" i="5"/>
  <c r="H36" i="5"/>
  <c r="G36" i="5"/>
  <c r="H35" i="5"/>
  <c r="G35" i="5"/>
  <c r="H34" i="5"/>
  <c r="G34" i="5"/>
  <c r="E33" i="5"/>
  <c r="C33" i="5"/>
  <c r="H32" i="5"/>
  <c r="G32" i="5"/>
  <c r="E31" i="5"/>
  <c r="C31" i="5"/>
  <c r="H29" i="5"/>
  <c r="G29" i="5"/>
  <c r="H28" i="5"/>
  <c r="G28" i="5"/>
  <c r="E27" i="5"/>
  <c r="C27" i="5"/>
  <c r="D23" i="5"/>
  <c r="C23" i="5"/>
  <c r="H22" i="5"/>
  <c r="F21" i="5"/>
  <c r="E21" i="5"/>
  <c r="D21" i="5"/>
  <c r="C21" i="5"/>
  <c r="G20" i="5"/>
  <c r="H19" i="5"/>
  <c r="H18" i="5"/>
  <c r="G18" i="5"/>
  <c r="E17" i="5"/>
  <c r="H17" i="5" s="1"/>
  <c r="D17" i="5"/>
  <c r="C17" i="5"/>
  <c r="H16" i="5"/>
  <c r="G16" i="5"/>
  <c r="H15" i="5"/>
  <c r="G15" i="5"/>
  <c r="H14" i="5"/>
  <c r="G14" i="5"/>
  <c r="F13" i="5"/>
  <c r="E13" i="5"/>
  <c r="D13" i="5"/>
  <c r="H12" i="5"/>
  <c r="G12" i="5"/>
  <c r="F11" i="5"/>
  <c r="E11" i="5"/>
  <c r="D11" i="5"/>
  <c r="H9" i="5"/>
  <c r="G9" i="5"/>
  <c r="H8" i="5"/>
  <c r="G8" i="5"/>
  <c r="F7" i="5"/>
  <c r="E7" i="5"/>
  <c r="D7" i="5"/>
  <c r="C26" i="5" l="1"/>
  <c r="C6" i="5"/>
  <c r="H7" i="5"/>
  <c r="H21" i="5"/>
  <c r="G6" i="8"/>
  <c r="H6" i="8"/>
  <c r="G11" i="5"/>
  <c r="H37" i="5"/>
  <c r="H31" i="5"/>
  <c r="G31" i="5"/>
  <c r="E6" i="5"/>
  <c r="H33" i="5"/>
  <c r="D26" i="5"/>
  <c r="H11" i="5"/>
  <c r="G17" i="5"/>
  <c r="G27" i="5"/>
  <c r="D6" i="5"/>
  <c r="G13" i="5"/>
  <c r="H13" i="5"/>
  <c r="G21" i="5"/>
  <c r="H27" i="5"/>
  <c r="G33" i="5"/>
  <c r="G37" i="5"/>
  <c r="G41" i="5"/>
  <c r="G7" i="5"/>
  <c r="H26" i="5" l="1"/>
  <c r="H6" i="5"/>
  <c r="G6" i="5"/>
  <c r="G26" i="5"/>
  <c r="F226" i="7" l="1"/>
  <c r="H220" i="7"/>
  <c r="H221" i="7"/>
  <c r="H222" i="7"/>
  <c r="H223" i="7"/>
  <c r="F219" i="7"/>
  <c r="F218" i="7" s="1"/>
  <c r="F217" i="7" s="1"/>
  <c r="F216" i="7" s="1"/>
  <c r="H216" i="7" s="1"/>
  <c r="H209" i="7"/>
  <c r="F208" i="7"/>
  <c r="F207" i="7" s="1"/>
  <c r="F206" i="7" s="1"/>
  <c r="H202" i="7"/>
  <c r="F201" i="7"/>
  <c r="H198" i="7"/>
  <c r="F197" i="7"/>
  <c r="F196" i="7" s="1"/>
  <c r="F195" i="7" s="1"/>
  <c r="F193" i="7"/>
  <c r="F192" i="7" s="1"/>
  <c r="F191" i="7" s="1"/>
  <c r="H194" i="7"/>
  <c r="H180" i="7"/>
  <c r="H181" i="7"/>
  <c r="H168" i="7"/>
  <c r="H170" i="7"/>
  <c r="H172" i="7"/>
  <c r="H164" i="7"/>
  <c r="H154" i="7"/>
  <c r="H156" i="7"/>
  <c r="H157" i="7"/>
  <c r="H161" i="7"/>
  <c r="H147" i="7"/>
  <c r="H149" i="7"/>
  <c r="H151" i="7"/>
  <c r="H153" i="7"/>
  <c r="H135" i="7"/>
  <c r="H136" i="7"/>
  <c r="H134" i="7"/>
  <c r="H128" i="7"/>
  <c r="H129" i="7"/>
  <c r="H130" i="7"/>
  <c r="H131" i="7"/>
  <c r="H119" i="7"/>
  <c r="H120" i="7"/>
  <c r="H121" i="7"/>
  <c r="H122" i="7"/>
  <c r="H123" i="7"/>
  <c r="H124" i="7"/>
  <c r="H106" i="7"/>
  <c r="H107" i="7"/>
  <c r="H108" i="7"/>
  <c r="H109" i="7"/>
  <c r="H111" i="7"/>
  <c r="H112" i="7"/>
  <c r="H115" i="7"/>
  <c r="H105" i="7"/>
  <c r="H102" i="7"/>
  <c r="H103" i="7"/>
  <c r="F127" i="7"/>
  <c r="F171" i="7"/>
  <c r="H171" i="7" s="1"/>
  <c r="F167" i="7"/>
  <c r="H167" i="7" s="1"/>
  <c r="F132" i="7"/>
  <c r="F101" i="7"/>
  <c r="F100" i="7" l="1"/>
  <c r="F138" i="7"/>
  <c r="F166" i="7"/>
  <c r="H166" i="7" s="1"/>
  <c r="H184" i="7"/>
  <c r="H201" i="7"/>
  <c r="H208" i="7"/>
  <c r="H101" i="7"/>
  <c r="H127" i="7"/>
  <c r="H177" i="7"/>
  <c r="H191" i="7"/>
  <c r="H139" i="7"/>
  <c r="H132" i="7"/>
  <c r="H207" i="7"/>
  <c r="H185" i="7"/>
  <c r="F200" i="7"/>
  <c r="H199" i="7" s="1"/>
  <c r="H206" i="7"/>
  <c r="H104" i="7"/>
  <c r="H173" i="7"/>
  <c r="H133" i="7"/>
  <c r="H219" i="7"/>
  <c r="H218" i="7"/>
  <c r="H196" i="7"/>
  <c r="H195" i="7"/>
  <c r="H197" i="7"/>
  <c r="H193" i="7"/>
  <c r="H192" i="7"/>
  <c r="H58" i="7"/>
  <c r="F59" i="7"/>
  <c r="F57" i="7"/>
  <c r="H95" i="7"/>
  <c r="H97" i="7"/>
  <c r="H98" i="7"/>
  <c r="F93" i="7"/>
  <c r="F92" i="7" s="1"/>
  <c r="F54" i="7" l="1"/>
  <c r="F225" i="7"/>
  <c r="F224" i="7" s="1"/>
  <c r="H138" i="7"/>
  <c r="H217" i="7"/>
  <c r="H200" i="7"/>
  <c r="H100" i="7"/>
  <c r="H69" i="7"/>
  <c r="H57" i="7"/>
  <c r="H74" i="7"/>
  <c r="H93" i="7"/>
  <c r="H94" i="7"/>
  <c r="H83" i="7"/>
  <c r="H84" i="7"/>
  <c r="H86" i="7"/>
  <c r="H87" i="7"/>
  <c r="H91" i="7"/>
  <c r="H81" i="7"/>
  <c r="F90" i="7"/>
  <c r="F80" i="7"/>
  <c r="F85" i="7"/>
  <c r="H51" i="7"/>
  <c r="H52" i="7"/>
  <c r="H26" i="7"/>
  <c r="H27" i="7"/>
  <c r="H28" i="7"/>
  <c r="H29" i="7"/>
  <c r="H30" i="7"/>
  <c r="H31" i="7"/>
  <c r="H32" i="7"/>
  <c r="H34" i="7"/>
  <c r="H35" i="7"/>
  <c r="H36" i="7"/>
  <c r="H38" i="7"/>
  <c r="H39" i="7"/>
  <c r="H40" i="7"/>
  <c r="H41" i="7"/>
  <c r="H42" i="7"/>
  <c r="H43" i="7"/>
  <c r="H44" i="7"/>
  <c r="H46" i="7"/>
  <c r="H47" i="7"/>
  <c r="H48" i="7"/>
  <c r="H25" i="7"/>
  <c r="F24" i="7"/>
  <c r="F49" i="7"/>
  <c r="H99" i="7" l="1"/>
  <c r="H80" i="7"/>
  <c r="H92" i="7"/>
  <c r="H90" i="7"/>
  <c r="H24" i="7"/>
  <c r="F79" i="7"/>
  <c r="F78" i="7" s="1"/>
  <c r="H78" i="7" s="1"/>
  <c r="H54" i="7"/>
  <c r="H49" i="7"/>
  <c r="H73" i="7"/>
  <c r="H85" i="7"/>
  <c r="H53" i="7"/>
  <c r="H68" i="7"/>
  <c r="H59" i="7"/>
  <c r="F23" i="7"/>
  <c r="F22" i="7" s="1"/>
  <c r="H89" i="7" l="1"/>
  <c r="H67" i="7"/>
  <c r="H79" i="7"/>
  <c r="H23" i="7"/>
  <c r="F9" i="7"/>
  <c r="H11" i="7"/>
  <c r="H12" i="7"/>
  <c r="H13" i="7"/>
  <c r="H14" i="7"/>
  <c r="H15" i="7"/>
  <c r="H16" i="7"/>
  <c r="H17" i="7"/>
  <c r="H19" i="7"/>
  <c r="H10" i="7"/>
  <c r="H9" i="7" l="1"/>
  <c r="H22" i="7"/>
  <c r="H21" i="7" l="1"/>
</calcChain>
</file>

<file path=xl/sharedStrings.xml><?xml version="1.0" encoding="utf-8"?>
<sst xmlns="http://schemas.openxmlformats.org/spreadsheetml/2006/main" count="521" uniqueCount="267">
  <si>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</si>
  <si>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</si>
  <si>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</si>
  <si>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</si>
  <si>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</si>
  <si>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</si>
  <si>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</si>
  <si>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</si>
  <si>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</si>
  <si>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II. POSEBNI DIO</t>
  </si>
  <si>
    <t>I. OPĆI DIO</t>
  </si>
  <si>
    <t>Materijalni rashodi</t>
  </si>
  <si>
    <t>Primici od zaduživanja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</si>
  <si>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</si>
  <si>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</si>
  <si>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</si>
  <si>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</si>
  <si>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</si>
  <si>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</si>
  <si>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</si>
  <si>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</si>
  <si>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</si>
  <si>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</si>
  <si>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</si>
  <si>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</si>
  <si>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</si>
  <si>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</si>
  <si>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</si>
  <si>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</si>
  <si>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građevinskih objekata</t>
  </si>
  <si>
    <t>Stambeni objekti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</si>
  <si>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</si>
  <si>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</si>
  <si>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</si>
  <si>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</si>
  <si>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</si>
  <si>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</si>
  <si>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</si>
  <si>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</si>
  <si>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>5=4/3*100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</si>
  <si>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</si>
  <si>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</si>
  <si>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</si>
  <si>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</si>
  <si>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</si>
  <si>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</si>
  <si>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</si>
  <si>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</si>
  <si>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</si>
  <si>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</si>
  <si>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</si>
  <si>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</si>
  <si>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</si>
  <si>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</si>
  <si>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</si>
  <si>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</si>
  <si>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</si>
  <si>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</si>
  <si>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SREDNJA ŠKOLA BIOGRAD NA MORU</t>
  </si>
  <si>
    <t>Opći prihodi i primici</t>
  </si>
  <si>
    <t>Višak/manjak prihoda - ZŽ</t>
  </si>
  <si>
    <t>Vlastiti prihodi - korisnici</t>
  </si>
  <si>
    <t>Prihodi za posebne namjene</t>
  </si>
  <si>
    <t>Višak/manjak prihoda - korisnici</t>
  </si>
  <si>
    <t>F.P. i dod. udio u por. na dohodak</t>
  </si>
  <si>
    <t>Državni proračun</t>
  </si>
  <si>
    <t>Proračun JLS</t>
  </si>
  <si>
    <t>Pomoći iz inozemstva</t>
  </si>
  <si>
    <t>Tekuće donacije - korisnici</t>
  </si>
  <si>
    <t>IZVORI FINANCIRANJA UKUPNO</t>
  </si>
  <si>
    <t>P2204</t>
  </si>
  <si>
    <t>PROGRAM SREDNJE ŠKOLSTVO STANDARD</t>
  </si>
  <si>
    <t>A2204-01</t>
  </si>
  <si>
    <t>Djelatnost srednjih škola</t>
  </si>
  <si>
    <t xml:space="preserve"> F.P. I dodatni udio  u pro.na dohodak</t>
  </si>
  <si>
    <t>Naknade za prijevoz na posao i s posla</t>
  </si>
  <si>
    <t>Stručno usavršavanje zaposlenika</t>
  </si>
  <si>
    <t>Ostale naknade troškova zaposlenima</t>
  </si>
  <si>
    <t>Uredski materijal</t>
  </si>
  <si>
    <t>Materijali i sirovine</t>
  </si>
  <si>
    <t>Energija</t>
  </si>
  <si>
    <t>Materijali i dijelovi za tekuć.i inves.održ.</t>
  </si>
  <si>
    <t>Sitni inventar i auto gume</t>
  </si>
  <si>
    <t>Službena, radna i zaštitna odjeća i obuća</t>
  </si>
  <si>
    <t>Usluge telefona ,pošte i prijevoza</t>
  </si>
  <si>
    <t>Usluge tekuć.i investic.održavanja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</si>
  <si>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</si>
  <si>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</si>
  <si>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</si>
  <si>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</si>
  <si>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</si>
  <si>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</si>
  <si>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</si>
  <si>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</si>
  <si>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</si>
  <si>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</si>
  <si>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</si>
  <si>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nespom.rashodi poslovanja</t>
  </si>
  <si>
    <t>Financijski rashodi</t>
  </si>
  <si>
    <t>Kamate za prim.kredite od tuzem.kred.inst.izvan JS</t>
  </si>
  <si>
    <t>Bankarske usluge i usluge platn.prom.</t>
  </si>
  <si>
    <t>Zatezne kamate</t>
  </si>
  <si>
    <t>K2204-02</t>
  </si>
  <si>
    <t>Opremanje poslovnih prostorija</t>
  </si>
  <si>
    <t>Otplata glavnice kredita SŠ Biograd</t>
  </si>
  <si>
    <t>K2204-07</t>
  </si>
  <si>
    <t>Administracija i upravljanje</t>
  </si>
  <si>
    <t>Ostali rashodi za zaposlene</t>
  </si>
  <si>
    <t>Doprinosi za OZO</t>
  </si>
  <si>
    <t>Ugovori o djelu-vanjski suradnici</t>
  </si>
  <si>
    <t>Novčana nak.posl. Zbog nezapošlj.osob.s invalid</t>
  </si>
  <si>
    <t>Rashodi za nabavu proizvedene dugotrajne imovine</t>
  </si>
  <si>
    <t>Uređaji, strojevi i oprema za ostale namjene</t>
  </si>
  <si>
    <t>Rashodi za ulaganje u nefinancijsku imovinu</t>
  </si>
  <si>
    <t>Dodatna ulaganja na građevinskim objektima</t>
  </si>
  <si>
    <t>Hitne intervencije u srednjim školama</t>
  </si>
  <si>
    <t>Usluge tekućeg i investicijskog održav.</t>
  </si>
  <si>
    <t>Uredska oprema i namještaj</t>
  </si>
  <si>
    <t>A22025-01</t>
  </si>
  <si>
    <t>Javne potrebe u prosvjeti - korisnici u SŠ</t>
  </si>
  <si>
    <t>P2205</t>
  </si>
  <si>
    <t>SREDNJE ŠKOLSTVO - IZNAD STANDARDA</t>
  </si>
  <si>
    <t>A2205-12</t>
  </si>
  <si>
    <t>Podizanje kvalitete i standarda u školstvu</t>
  </si>
  <si>
    <t>Plaće za prekovremeni rad</t>
  </si>
  <si>
    <t>Uredski materijal i ostali materijalni rashodi</t>
  </si>
  <si>
    <t>Materijal i sirovine</t>
  </si>
  <si>
    <t>Troškovi sudskih postupaka</t>
  </si>
  <si>
    <t>Oprema za održavanje i zaštitu</t>
  </si>
  <si>
    <t>Knjige</t>
  </si>
  <si>
    <t>Sudske pristojbe</t>
  </si>
  <si>
    <t>Računala i računalna oprema</t>
  </si>
  <si>
    <t>A2205-13</t>
  </si>
  <si>
    <t>Financiranje deficitarnih zanimanja</t>
  </si>
  <si>
    <t>Naknade građanima i kućanstvima na temelju osiguranja i druge naknade</t>
  </si>
  <si>
    <t>Naknade građanima i kućanstvima u novcu</t>
  </si>
  <si>
    <t>A2205-34</t>
  </si>
  <si>
    <t>Projekt e-škole</t>
  </si>
  <si>
    <t>T2205-35</t>
  </si>
  <si>
    <t>Projektna dokumentacija - javne potrebe u SŠ</t>
  </si>
  <si>
    <t>T2205-37</t>
  </si>
  <si>
    <t>Zalihe menstrualnih higijenskih potrepština</t>
  </si>
  <si>
    <t>P4301</t>
  </si>
  <si>
    <t>RAZVOJNI PROJEKTI EU</t>
  </si>
  <si>
    <t>T4301-67</t>
  </si>
  <si>
    <t>Projekt Pomoćnici u nastavi</t>
  </si>
  <si>
    <t>P4302</t>
  </si>
  <si>
    <t>PROJEKTI EU</t>
  </si>
  <si>
    <t>T4302-88</t>
  </si>
  <si>
    <t>Projekt Budi spreman i kompetentan V.V.</t>
  </si>
  <si>
    <t>SVEUKUPNO RASHODI:</t>
  </si>
  <si>
    <t>12 Višak/manjak prihoda - ZŽ</t>
  </si>
  <si>
    <t>41 Prihodi za posebne namjene - proračunski korisnici</t>
  </si>
  <si>
    <t>42 Višak/manjak prihoda korisnici</t>
  </si>
  <si>
    <t>45  F.P. I dod.udio u por.na dohodak</t>
  </si>
  <si>
    <t>51 Pomoći iz državnog proračuna</t>
  </si>
  <si>
    <t>53 Proračun JLS</t>
  </si>
  <si>
    <t>54 Pomoći iz inozemstva</t>
  </si>
  <si>
    <t>61 Donacije - proračunski korisnici</t>
  </si>
  <si>
    <t>81 Primici od finan.imovine I zaduž.</t>
  </si>
  <si>
    <t>8 Primici od financijske imovine i zaduživanja</t>
  </si>
  <si>
    <t>6 Prihodi poslovanja</t>
  </si>
  <si>
    <t>Pomoći proračunskim korisnicima iz proračuna koji im nije nadležan</t>
  </si>
  <si>
    <t>Tekuće pomoći proračunskim korisnicima iz proračuna koji im nije nadležan</t>
  </si>
  <si>
    <t>Prijenosi između prorač.korisnika istog proračuna</t>
  </si>
  <si>
    <t>Tekući prijenosi između prorač.korisnika istog proračuna</t>
  </si>
  <si>
    <t>Tekući prijenosi između prorač.korisnika istog prorač.temeljem prijenosa</t>
  </si>
  <si>
    <t>Prihodi od upravnih i administrativnih pristojbi, pristojbi po posebnim propisima i naknada</t>
  </si>
  <si>
    <t>Prihodi po posebnim propisim</t>
  </si>
  <si>
    <t>Ostali nespomenuti prihodi</t>
  </si>
  <si>
    <t>Prihodi od prodaje proizvoda i robe te pruženih usluga i prihodi od donacija te povrati po protestiranim jamstvima</t>
  </si>
  <si>
    <t>Prihodi od pruženih usluga</t>
  </si>
  <si>
    <t>Donacije od pravnih i fiz.osoba</t>
  </si>
  <si>
    <t>Tekuće donacije</t>
  </si>
  <si>
    <t>Prihodi iz nadležnog proračuna i od HZZO-a temeljem ugovornih obveza</t>
  </si>
  <si>
    <t xml:space="preserve"> Prihodi iz nadležnog proračuna za financiranje redovne djelatnosti proračunskih korisnika</t>
  </si>
  <si>
    <t>Prihodi iz nadležnog proračuna za financiranje rashoda poslovanja</t>
  </si>
  <si>
    <t xml:space="preserve"> Prihodi iz nadležnog proračuna za nabavu nefinancijske imovine</t>
  </si>
  <si>
    <t>Prihodi iz nadlež.prorač.za finan.izdataka za fin.imov.i otplatu zajm.</t>
  </si>
  <si>
    <t>Vlastiti izvori</t>
  </si>
  <si>
    <t>Plaće (Brutro)</t>
  </si>
  <si>
    <t>Plaća za posebne uvjete rada</t>
  </si>
  <si>
    <t>Doprinosi na plaće</t>
  </si>
  <si>
    <t>Doprinosi za obvezno zdravstveno osiguranje</t>
  </si>
  <si>
    <t>Doprinosi za obvezno osiguranje u slučaju nezaposlenosti</t>
  </si>
  <si>
    <t>Naknade za prijevoz, za rad na terenu i odvojeni život</t>
  </si>
  <si>
    <t>Rashodi za materijal i energiju</t>
  </si>
  <si>
    <t>Materijal i dijelovi za tekuće i investicijsko održavanje</t>
  </si>
  <si>
    <t>Rashodi za usluge</t>
  </si>
  <si>
    <t>Usluge telefona, pošte i prijevoza</t>
  </si>
  <si>
    <t>Usluge tekućeg i investicijskog održavanja</t>
  </si>
  <si>
    <t>Naknade troš.osob. Izvan RO</t>
  </si>
  <si>
    <t>Ostali nespomenuti rashodi poslovanja</t>
  </si>
  <si>
    <t>Članarine</t>
  </si>
  <si>
    <t>Kamate za primljene kredite i zajmove</t>
  </si>
  <si>
    <t>Kamate za prim.kred. I zajm.od kred.i ost.fin.inst. Izvan javnog sektora</t>
  </si>
  <si>
    <t>Ostali financisjki rashodi</t>
  </si>
  <si>
    <t>Bankarske usluge i usluge platnog prometa</t>
  </si>
  <si>
    <t>Naknade građanima i kućanstvima na temelju osiguranja i dr. naknade</t>
  </si>
  <si>
    <t>Ostale naknade građanima i kućanstvima iz proračuna</t>
  </si>
  <si>
    <t>Naknade građanima i kućanstvima</t>
  </si>
  <si>
    <t>Ostali rashodi</t>
  </si>
  <si>
    <t>Tekuće donacije u naravi</t>
  </si>
  <si>
    <t>Postrojenja i opreme</t>
  </si>
  <si>
    <t>Knjige, umjetnička djela i ostale izložbene vrijednosti</t>
  </si>
  <si>
    <t>Nematerijalna proizvedena imovina</t>
  </si>
  <si>
    <t>Ostala nematerijalna proizvedena imovina</t>
  </si>
  <si>
    <t>Rashodi za dodatna ulaganja na nefinancijskoj imovini</t>
  </si>
  <si>
    <t>Izdaci za financijsku imovinu i otplate zajmova</t>
  </si>
  <si>
    <t>Izdaci za otplatu glavnice primljenih kredita i zajmova</t>
  </si>
  <si>
    <t>19 Predfinanciranje iz ZŽ</t>
  </si>
  <si>
    <t>Kapitalne pomoći proračunskim korisnicima iz proračuna koji im nije nadležan</t>
  </si>
  <si>
    <t>Dodatna ulaganja na građ. objektima</t>
  </si>
  <si>
    <t>Otplata glavnice primljenih kredita i zajmova od kreditnih i ostalih financijskih institucija izvan javnog sektora</t>
  </si>
  <si>
    <t>Rezultat poslovanja</t>
  </si>
  <si>
    <t>4 Prihodi za posebne namjene</t>
  </si>
  <si>
    <t>09 Obrazovanje</t>
  </si>
  <si>
    <t>092 Srednjoškolsko obrazovanje</t>
  </si>
  <si>
    <t>5 Pomoći</t>
  </si>
  <si>
    <t>Primljeni krediti i zajmovi od kred.inst. Izvan javnog sektora</t>
  </si>
  <si>
    <t>Primljeni krediti od tuzemnih kreditnih institucija izvan javnog sektora - kratkoročni</t>
  </si>
  <si>
    <t>Otplata glavnice primljenih kredita od tuzemnih kreditnih institucija izvan javnog sektora</t>
  </si>
  <si>
    <t>Kapitalne donacije</t>
  </si>
  <si>
    <t>¸-</t>
  </si>
  <si>
    <t>OSTVARENJE/IZVRŠENJE 
2024</t>
  </si>
  <si>
    <t xml:space="preserve"> IZVRŠENJE 
2024</t>
  </si>
  <si>
    <t>A2205-41</t>
  </si>
  <si>
    <t>Program Potencijali zajednice</t>
  </si>
  <si>
    <t>Tekuće donacije-korisnici</t>
  </si>
  <si>
    <t>Promidžbeni materijal</t>
  </si>
  <si>
    <t>IZVORNI PLAN 2024</t>
  </si>
  <si>
    <t>nak.za korištenje privatnog automobila u služ.svrhe</t>
  </si>
  <si>
    <t xml:space="preserve"> OSTVARENJE/IZVRŠENJE 
2025</t>
  </si>
  <si>
    <t>PLAN 2025.</t>
  </si>
  <si>
    <t>Kamate za primljeni kredit SŠ Biograd</t>
  </si>
  <si>
    <t>Materijal i dijelovi za tekuće održavanje</t>
  </si>
  <si>
    <t>oprema</t>
  </si>
  <si>
    <t>uredska oprema i namještaj</t>
  </si>
  <si>
    <t>uredski materijal</t>
  </si>
  <si>
    <t>Kapitalna ulaganja u srednjim školama</t>
  </si>
  <si>
    <t>T22005-04</t>
  </si>
  <si>
    <t>kapitalna ulaganja SŠ</t>
  </si>
  <si>
    <t>dnevnice za službeni put u zemlji</t>
  </si>
  <si>
    <t>ostale naknade iz proračuna u novcu</t>
  </si>
  <si>
    <t>Izrada projektne dokumentacije</t>
  </si>
  <si>
    <t>višak/manjak prihoda -ZŽ</t>
  </si>
  <si>
    <t>Materijal za higijenske potrebe i njegu</t>
  </si>
  <si>
    <t>IZVORNI PLAN 2025</t>
  </si>
  <si>
    <t>OSTVARENJE/IZVRŠENJE 
2025</t>
  </si>
  <si>
    <t>Kazne, upravne mjere i ostali prihodi</t>
  </si>
  <si>
    <t>Ostali prihodi</t>
  </si>
  <si>
    <t>Manjak prihoda</t>
  </si>
  <si>
    <t>Višak prihoda</t>
  </si>
  <si>
    <t>OSTVARENJE/IZVRŠENJE 2025</t>
  </si>
  <si>
    <t>TEKUĆI PLAN 2025</t>
  </si>
  <si>
    <t xml:space="preserve"> IZVRŠENJE 
2025</t>
  </si>
  <si>
    <t>PLAN 2025</t>
  </si>
  <si>
    <t>IZVRŠENJE FINANCIJSKOG PLANA
ZA 2025 GODINU</t>
  </si>
  <si>
    <t>plaće za prekovremeni rad</t>
  </si>
  <si>
    <t>IZVRŠENJE 
2024</t>
  </si>
  <si>
    <t xml:space="preserve"> RAČUN FINANCIRANJA</t>
  </si>
  <si>
    <t xml:space="preserve">IZVJEŠTAJ RAČUNA FINANCIRANJA PREMA EKONOMSKOJ KLASIFIKACIJI </t>
  </si>
  <si>
    <t xml:space="preserve"> IZVORNI PLAN 2024</t>
  </si>
  <si>
    <t>Primljeni krediti i zajmovi od međunarodnih organizacija, institucija i tijela EU te inozemnih vlada</t>
  </si>
  <si>
    <t>Primljeni zajmovi od međunarodnih organizacija</t>
  </si>
  <si>
    <r>
      <t xml:space="preserve">Na temelju Zakona o proračunu ("Narodne novine“ broj 87/08, 136/12 i 15/15, 144/21),i Pravilnika o polugodišnjem i godišnjem izvještaju o izvršenju proračuna ("Narodne novine" 24/13, 102/17 i 1/20) </t>
    </r>
    <r>
      <rPr>
        <b/>
        <sz val="10"/>
        <color theme="1"/>
        <rFont val="Arial"/>
        <family val="2"/>
        <charset val="238"/>
      </rPr>
      <t>SREDNJA ŠKOLA BIOGRAD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NA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MORU</t>
    </r>
    <r>
      <rPr>
        <sz val="10"/>
        <color theme="1"/>
        <rFont val="Arial"/>
        <family val="2"/>
        <charset val="238"/>
      </rPr>
      <t xml:space="preserve"> podnosi Školskom odboru:</t>
    </r>
  </si>
  <si>
    <t xml:space="preserve"> TEKUĆI PLAN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</si>
</sst>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b/>
      <i/>
      <sz val="10"/>
      <name val="Arial"/>
      <family val="2"/>
      <charset val="238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21" fillId="7" borderId="0" applyNumberFormat="0" applyBorder="0" applyAlignment="0" applyProtection="0"/>
    <xf numFmtId="0" fontId="28" fillId="9" borderId="0" applyNumberFormat="0" applyBorder="0" applyAlignment="0" applyProtection="0"/>
  </cellStyleXfs>
  <cellXfs count="262">
    <xf numFmtId="0" fontId="0" fillId="0" borderId="0" xfId="0"/>
    <xf numFmtId="0" fontId="5" fillId="0" borderId="0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3" xfId="0" quotePrefix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6" fillId="2" borderId="3" xfId="0" applyNumberFormat="1" applyFont="1" applyFill="1" applyBorder="1" applyAlignment="1" applyProtection="1">
      <alignment horizontal="center" vertical="center" wrapText="1"/>
    </xf>
    <xf numFmtId="0" fontId="16" fillId="0" borderId="3" xfId="0" quotePrefix="1" applyNumberFormat="1" applyFont="1" applyFill="1" applyBorder="1" applyAlignment="1" applyProtection="1">
      <alignment horizontal="center" vertical="center" wrapText="1"/>
    </xf>
    <xf numFmtId="0" fontId="16" fillId="0" borderId="3" xfId="0" quotePrefix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6" fillId="3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8" fillId="3" borderId="2" xfId="0" applyNumberFormat="1" applyFont="1" applyFill="1" applyBorder="1" applyAlignment="1" applyProtection="1">
      <alignment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4" fillId="2" borderId="0" xfId="0" applyNumberFormat="1" applyFont="1" applyFill="1" applyBorder="1" applyAlignment="1" applyProtection="1">
      <alignment horizontal="center" vertical="center" wrapText="1"/>
    </xf>
    <xf numFmtId="164" fontId="5" fillId="2" borderId="0" xfId="0" applyNumberFormat="1" applyFont="1" applyFill="1" applyBorder="1" applyAlignment="1" applyProtection="1">
      <alignment vertical="center" wrapText="1"/>
    </xf>
    <xf numFmtId="164" fontId="7" fillId="3" borderId="3" xfId="0" applyNumberFormat="1" applyFont="1" applyFill="1" applyBorder="1" applyAlignment="1" applyProtection="1">
      <alignment horizontal="center" vertical="center" wrapText="1"/>
    </xf>
    <xf numFmtId="164" fontId="16" fillId="3" borderId="3" xfId="0" applyNumberFormat="1" applyFont="1" applyFill="1" applyBorder="1" applyAlignment="1" applyProtection="1">
      <alignment horizontal="center" vertical="center" wrapText="1"/>
    </xf>
    <xf numFmtId="164" fontId="5" fillId="2" borderId="4" xfId="0" applyNumberFormat="1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164" fontId="0" fillId="0" borderId="0" xfId="0" applyNumberFormat="1"/>
    <xf numFmtId="0" fontId="7" fillId="2" borderId="4" xfId="0" applyNumberFormat="1" applyFont="1" applyFill="1" applyBorder="1" applyAlignment="1" applyProtection="1">
      <alignment horizontal="left" vertical="center" wrapText="1"/>
    </xf>
    <xf numFmtId="164" fontId="7" fillId="2" borderId="4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4" fontId="19" fillId="4" borderId="7" xfId="0" applyNumberFormat="1" applyFont="1" applyFill="1" applyBorder="1" applyAlignment="1">
      <alignment wrapText="1"/>
    </xf>
    <xf numFmtId="4" fontId="19" fillId="4" borderId="7" xfId="0" applyNumberFormat="1" applyFont="1" applyFill="1" applyBorder="1" applyAlignment="1">
      <alignment horizontal="right" wrapText="1"/>
    </xf>
    <xf numFmtId="4" fontId="19" fillId="4" borderId="7" xfId="0" applyNumberFormat="1" applyFont="1" applyFill="1" applyBorder="1" applyAlignment="1">
      <alignment horizontal="right" wrapText="1" inden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164" fontId="7" fillId="5" borderId="4" xfId="0" applyNumberFormat="1" applyFont="1" applyFill="1" applyBorder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164" fontId="5" fillId="5" borderId="3" xfId="0" applyNumberFormat="1" applyFont="1" applyFill="1" applyBorder="1" applyAlignment="1">
      <alignment horizontal="right"/>
    </xf>
    <xf numFmtId="0" fontId="7" fillId="6" borderId="1" xfId="0" applyNumberFormat="1" applyFont="1" applyFill="1" applyBorder="1" applyAlignment="1" applyProtection="1">
      <alignment horizontal="left" vertical="center" wrapText="1"/>
    </xf>
    <xf numFmtId="0" fontId="7" fillId="6" borderId="2" xfId="0" applyNumberFormat="1" applyFont="1" applyFill="1" applyBorder="1" applyAlignment="1" applyProtection="1">
      <alignment horizontal="left" vertical="center" wrapText="1"/>
    </xf>
    <xf numFmtId="0" fontId="7" fillId="6" borderId="4" xfId="0" applyNumberFormat="1" applyFont="1" applyFill="1" applyBorder="1" applyAlignment="1" applyProtection="1">
      <alignment horizontal="left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164" fontId="23" fillId="6" borderId="3" xfId="0" applyNumberFormat="1" applyFont="1" applyFill="1" applyBorder="1" applyAlignment="1">
      <alignment horizontal="right"/>
    </xf>
    <xf numFmtId="0" fontId="5" fillId="8" borderId="4" xfId="0" applyNumberFormat="1" applyFont="1" applyFill="1" applyBorder="1" applyAlignment="1" applyProtection="1">
      <alignment horizontal="left" vertical="center" wrapText="1"/>
    </xf>
    <xf numFmtId="0" fontId="7" fillId="8" borderId="4" xfId="0" applyNumberFormat="1" applyFont="1" applyFill="1" applyBorder="1" applyAlignment="1" applyProtection="1">
      <alignment horizontal="left" vertical="center" wrapText="1"/>
    </xf>
    <xf numFmtId="164" fontId="7" fillId="8" borderId="3" xfId="0" applyNumberFormat="1" applyFont="1" applyFill="1" applyBorder="1" applyAlignment="1">
      <alignment horizontal="right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164" fontId="22" fillId="8" borderId="3" xfId="0" applyNumberFormat="1" applyFont="1" applyFill="1" applyBorder="1"/>
    <xf numFmtId="0" fontId="10" fillId="6" borderId="3" xfId="0" applyNumberFormat="1" applyFont="1" applyFill="1" applyBorder="1" applyAlignment="1" applyProtection="1">
      <alignment horizontal="left" vertical="center" wrapText="1"/>
    </xf>
    <xf numFmtId="0" fontId="24" fillId="0" borderId="3" xfId="2" applyNumberFormat="1" applyFont="1" applyFill="1" applyBorder="1" applyAlignment="1" applyProtection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/>
    </xf>
    <xf numFmtId="0" fontId="25" fillId="2" borderId="3" xfId="0" quotePrefix="1" applyFont="1" applyFill="1" applyBorder="1" applyAlignment="1">
      <alignment horizontal="left" vertical="center"/>
    </xf>
    <xf numFmtId="0" fontId="0" fillId="0" borderId="0" xfId="0" applyFont="1"/>
    <xf numFmtId="0" fontId="2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/>
    </xf>
    <xf numFmtId="0" fontId="8" fillId="2" borderId="8" xfId="0" applyNumberFormat="1" applyFont="1" applyFill="1" applyBorder="1" applyAlignment="1" applyProtection="1">
      <alignment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9" fillId="0" borderId="3" xfId="2" applyNumberFormat="1" applyFont="1" applyFill="1" applyBorder="1" applyAlignment="1" applyProtection="1">
      <alignment horizontal="left" vertical="center"/>
    </xf>
    <xf numFmtId="0" fontId="29" fillId="0" borderId="3" xfId="2" applyNumberFormat="1" applyFont="1" applyFill="1" applyBorder="1" applyAlignment="1" applyProtection="1">
      <alignment vertical="center" wrapText="1"/>
    </xf>
    <xf numFmtId="0" fontId="29" fillId="0" borderId="3" xfId="2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164" fontId="10" fillId="0" borderId="4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0" fontId="5" fillId="8" borderId="1" xfId="0" applyNumberFormat="1" applyFont="1" applyFill="1" applyBorder="1" applyAlignment="1" applyProtection="1">
      <alignment horizontal="left" vertical="center" wrapText="1"/>
    </xf>
    <xf numFmtId="164" fontId="5" fillId="2" borderId="3" xfId="0" applyNumberFormat="1" applyFont="1" applyFill="1" applyBorder="1" applyAlignment="1" applyProtection="1">
      <alignment horizontal="right" wrapText="1"/>
    </xf>
    <xf numFmtId="164" fontId="0" fillId="0" borderId="3" xfId="0" applyNumberFormat="1" applyBorder="1"/>
    <xf numFmtId="164" fontId="7" fillId="2" borderId="3" xfId="0" applyNumberFormat="1" applyFont="1" applyFill="1" applyBorder="1" applyAlignment="1" applyProtection="1">
      <alignment horizontal="right" wrapText="1"/>
    </xf>
    <xf numFmtId="164" fontId="3" fillId="0" borderId="3" xfId="0" applyNumberFormat="1" applyFont="1" applyBorder="1"/>
    <xf numFmtId="164" fontId="0" fillId="0" borderId="3" xfId="0" applyNumberFormat="1" applyFont="1" applyBorder="1"/>
    <xf numFmtId="0" fontId="29" fillId="0" borderId="3" xfId="2" applyNumberFormat="1" applyFont="1" applyFill="1" applyBorder="1" applyAlignment="1" applyProtection="1">
      <alignment horizontal="left" vertical="center" wrapText="1" indent="1"/>
    </xf>
    <xf numFmtId="0" fontId="8" fillId="2" borderId="0" xfId="0" quotePrefix="1" applyFont="1" applyFill="1" applyBorder="1" applyAlignment="1">
      <alignment horizontal="left" vertical="center"/>
    </xf>
    <xf numFmtId="0" fontId="8" fillId="2" borderId="0" xfId="0" quotePrefix="1" applyFont="1" applyFill="1" applyBorder="1" applyAlignment="1">
      <alignment horizontal="left" vertical="center" wrapText="1"/>
    </xf>
    <xf numFmtId="164" fontId="26" fillId="4" borderId="3" xfId="0" applyNumberFormat="1" applyFont="1" applyFill="1" applyBorder="1" applyAlignment="1">
      <alignment horizontal="right" wrapText="1"/>
    </xf>
    <xf numFmtId="164" fontId="20" fillId="4" borderId="3" xfId="0" applyNumberFormat="1" applyFont="1" applyFill="1" applyBorder="1" applyAlignment="1">
      <alignment horizontal="right" wrapText="1"/>
    </xf>
    <xf numFmtId="164" fontId="32" fillId="2" borderId="3" xfId="0" applyNumberFormat="1" applyFont="1" applyFill="1" applyBorder="1" applyAlignment="1" applyProtection="1">
      <alignment vertical="center" wrapText="1"/>
    </xf>
    <xf numFmtId="164" fontId="3" fillId="0" borderId="3" xfId="0" applyNumberFormat="1" applyFont="1" applyBorder="1" applyAlignment="1">
      <alignment horizontal="right" vertical="center"/>
    </xf>
    <xf numFmtId="43" fontId="8" fillId="0" borderId="3" xfId="0" applyNumberFormat="1" applyFont="1" applyFill="1" applyBorder="1" applyAlignment="1" applyProtection="1">
      <alignment vertical="center"/>
    </xf>
    <xf numFmtId="43" fontId="7" fillId="0" borderId="3" xfId="0" applyNumberFormat="1" applyFont="1" applyFill="1" applyBorder="1" applyAlignment="1">
      <alignment horizontal="right"/>
    </xf>
    <xf numFmtId="43" fontId="7" fillId="3" borderId="3" xfId="0" applyNumberFormat="1" applyFont="1" applyFill="1" applyBorder="1" applyAlignment="1">
      <alignment horizontal="right"/>
    </xf>
    <xf numFmtId="43" fontId="8" fillId="0" borderId="3" xfId="0" applyNumberFormat="1" applyFont="1" applyFill="1" applyBorder="1" applyAlignment="1" applyProtection="1">
      <alignment vertical="center" wrapText="1"/>
    </xf>
    <xf numFmtId="43" fontId="7" fillId="0" borderId="3" xfId="0" applyNumberFormat="1" applyFont="1" applyFill="1" applyBorder="1" applyAlignment="1" applyProtection="1">
      <alignment horizontal="right" wrapText="1"/>
    </xf>
    <xf numFmtId="43" fontId="7" fillId="0" borderId="3" xfId="0" applyNumberFormat="1" applyFont="1" applyBorder="1" applyAlignment="1">
      <alignment horizontal="right"/>
    </xf>
    <xf numFmtId="43" fontId="7" fillId="3" borderId="3" xfId="0" applyNumberFormat="1" applyFont="1" applyFill="1" applyBorder="1" applyAlignment="1" applyProtection="1">
      <alignment horizontal="right" wrapText="1"/>
    </xf>
    <xf numFmtId="43" fontId="10" fillId="0" borderId="3" xfId="0" applyNumberFormat="1" applyFont="1" applyFill="1" applyBorder="1" applyAlignment="1" applyProtection="1">
      <alignment horizontal="left" vertical="center" wrapText="1"/>
    </xf>
    <xf numFmtId="43" fontId="7" fillId="3" borderId="3" xfId="0" quotePrefix="1" applyNumberFormat="1" applyFont="1" applyFill="1" applyBorder="1" applyAlignment="1">
      <alignment horizontal="left" wrapText="1"/>
    </xf>
    <xf numFmtId="43" fontId="7" fillId="3" borderId="3" xfId="0" applyNumberFormat="1" applyFont="1" applyFill="1" applyBorder="1" applyAlignment="1" applyProtection="1">
      <alignment horizontal="center" vertical="center" wrapText="1"/>
    </xf>
    <xf numFmtId="43" fontId="7" fillId="3" borderId="3" xfId="0" applyNumberFormat="1" applyFont="1" applyFill="1" applyBorder="1" applyAlignment="1" applyProtection="1">
      <alignment horizontal="left" vertical="center" wrapText="1"/>
    </xf>
    <xf numFmtId="43" fontId="10" fillId="3" borderId="3" xfId="0" applyNumberFormat="1" applyFont="1" applyFill="1" applyBorder="1" applyAlignment="1" applyProtection="1">
      <alignment vertical="center"/>
    </xf>
    <xf numFmtId="43" fontId="29" fillId="3" borderId="3" xfId="0" applyNumberFormat="1" applyFont="1" applyFill="1" applyBorder="1" applyAlignment="1" applyProtection="1">
      <alignment wrapText="1"/>
    </xf>
    <xf numFmtId="43" fontId="30" fillId="0" borderId="3" xfId="2" applyNumberFormat="1" applyFont="1" applyFill="1" applyBorder="1" applyAlignment="1" applyProtection="1">
      <alignment vertical="center" wrapText="1"/>
    </xf>
    <xf numFmtId="164" fontId="5" fillId="2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43" fontId="5" fillId="0" borderId="3" xfId="0" applyNumberFormat="1" applyFont="1" applyFill="1" applyBorder="1" applyAlignment="1">
      <alignment horizontal="right"/>
    </xf>
    <xf numFmtId="43" fontId="5" fillId="0" borderId="3" xfId="0" applyNumberFormat="1" applyFont="1" applyBorder="1" applyAlignment="1">
      <alignment horizontal="right"/>
    </xf>
    <xf numFmtId="164" fontId="31" fillId="0" borderId="3" xfId="3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 applyProtection="1">
      <alignment vertical="center"/>
    </xf>
    <xf numFmtId="164" fontId="0" fillId="0" borderId="3" xfId="0" applyNumberFormat="1" applyFont="1" applyBorder="1" applyAlignment="1">
      <alignment horizontal="right" vertical="center"/>
    </xf>
    <xf numFmtId="164" fontId="29" fillId="0" borderId="3" xfId="3" applyNumberFormat="1" applyFont="1" applyFill="1" applyBorder="1" applyAlignment="1">
      <alignment horizontal="right"/>
    </xf>
    <xf numFmtId="164" fontId="29" fillId="8" borderId="3" xfId="3" applyNumberFormat="1" applyFont="1" applyFill="1" applyBorder="1" applyAlignment="1">
      <alignment horizontal="right"/>
    </xf>
    <xf numFmtId="164" fontId="31" fillId="0" borderId="3" xfId="3" applyNumberFormat="1" applyFont="1" applyFill="1" applyBorder="1"/>
    <xf numFmtId="164" fontId="29" fillId="0" borderId="3" xfId="3" applyNumberFormat="1" applyFont="1" applyFill="1" applyBorder="1" applyAlignment="1">
      <alignment horizontal="right" vertical="center"/>
    </xf>
    <xf numFmtId="164" fontId="26" fillId="4" borderId="7" xfId="0" applyNumberFormat="1" applyFont="1" applyFill="1" applyBorder="1" applyAlignment="1">
      <alignment horizontal="right" wrapText="1"/>
    </xf>
    <xf numFmtId="164" fontId="31" fillId="0" borderId="3" xfId="3" applyNumberFormat="1" applyFont="1" applyFill="1" applyBorder="1" applyAlignment="1" applyProtection="1">
      <alignment horizontal="right" wrapText="1"/>
    </xf>
    <xf numFmtId="164" fontId="1" fillId="0" borderId="3" xfId="0" applyNumberFormat="1" applyFont="1" applyBorder="1"/>
    <xf numFmtId="164" fontId="29" fillId="0" borderId="3" xfId="2" applyNumberFormat="1" applyFont="1" applyFill="1" applyBorder="1" applyAlignment="1">
      <alignment horizontal="right"/>
    </xf>
    <xf numFmtId="164" fontId="29" fillId="6" borderId="3" xfId="3" applyNumberFormat="1" applyFont="1" applyFill="1" applyBorder="1" applyAlignment="1">
      <alignment horizontal="right"/>
    </xf>
    <xf numFmtId="164" fontId="3" fillId="6" borderId="3" xfId="0" applyNumberFormat="1" applyFont="1" applyFill="1" applyBorder="1"/>
    <xf numFmtId="164" fontId="3" fillId="0" borderId="3" xfId="0" applyNumberFormat="1" applyFont="1" applyFill="1" applyBorder="1"/>
    <xf numFmtId="164" fontId="22" fillId="0" borderId="3" xfId="0" applyNumberFormat="1" applyFont="1" applyFill="1" applyBorder="1"/>
    <xf numFmtId="164" fontId="0" fillId="0" borderId="3" xfId="0" applyNumberFormat="1" applyFont="1" applyFill="1" applyBorder="1"/>
    <xf numFmtId="164" fontId="2" fillId="0" borderId="3" xfId="0" applyNumberFormat="1" applyFont="1" applyFill="1" applyBorder="1"/>
    <xf numFmtId="164" fontId="31" fillId="0" borderId="3" xfId="0" applyNumberFormat="1" applyFont="1" applyFill="1" applyBorder="1"/>
    <xf numFmtId="164" fontId="29" fillId="0" borderId="3" xfId="0" applyNumberFormat="1" applyFont="1" applyFill="1" applyBorder="1"/>
    <xf numFmtId="164" fontId="30" fillId="0" borderId="3" xfId="2" applyNumberFormat="1" applyFont="1" applyFill="1" applyBorder="1"/>
    <xf numFmtId="164" fontId="31" fillId="0" borderId="3" xfId="2" applyNumberFormat="1" applyFont="1" applyFill="1" applyBorder="1"/>
    <xf numFmtId="43" fontId="30" fillId="0" borderId="3" xfId="2" applyNumberFormat="1" applyFont="1" applyFill="1" applyBorder="1" applyAlignment="1">
      <alignment horizontal="right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5" fillId="6" borderId="4" xfId="0" applyNumberFormat="1" applyFont="1" applyFill="1" applyBorder="1" applyAlignment="1" applyProtection="1">
      <alignment horizontal="left" vertical="center" wrapText="1"/>
    </xf>
    <xf numFmtId="164" fontId="5" fillId="6" borderId="3" xfId="0" applyNumberFormat="1" applyFont="1" applyFill="1" applyBorder="1" applyAlignment="1">
      <alignment horizontal="right"/>
    </xf>
    <xf numFmtId="164" fontId="29" fillId="0" borderId="3" xfId="3" applyNumberFormat="1" applyFont="1" applyFill="1" applyBorder="1"/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164" fontId="29" fillId="0" borderId="3" xfId="3" applyNumberFormat="1" applyFont="1" applyFill="1" applyBorder="1" applyAlignment="1">
      <alignment horizontal="center" vertical="center" wrapText="1"/>
    </xf>
    <xf numFmtId="164" fontId="29" fillId="0" borderId="3" xfId="3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 applyProtection="1">
      <alignment horizontal="center" wrapText="1"/>
    </xf>
    <xf numFmtId="164" fontId="34" fillId="2" borderId="3" xfId="0" applyNumberFormat="1" applyFont="1" applyFill="1" applyBorder="1" applyAlignment="1" applyProtection="1">
      <alignment horizontal="center" wrapText="1"/>
    </xf>
    <xf numFmtId="164" fontId="7" fillId="2" borderId="3" xfId="0" applyNumberFormat="1" applyFont="1" applyFill="1" applyBorder="1" applyAlignment="1" applyProtection="1">
      <alignment horizontal="center" wrapText="1"/>
    </xf>
    <xf numFmtId="164" fontId="0" fillId="0" borderId="0" xfId="0" applyNumberFormat="1" applyAlignment="1">
      <alignment horizont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164" fontId="5" fillId="2" borderId="3" xfId="0" applyNumberFormat="1" applyFont="1" applyFill="1" applyBorder="1" applyAlignment="1" applyProtection="1">
      <alignment horizontal="left" wrapText="1"/>
    </xf>
    <xf numFmtId="0" fontId="33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7" fillId="3" borderId="1" xfId="0" quotePrefix="1" applyFont="1" applyFill="1" applyBorder="1" applyAlignment="1">
      <alignment horizontal="left" wrapText="1"/>
    </xf>
    <xf numFmtId="0" fontId="7" fillId="3" borderId="2" xfId="0" quotePrefix="1" applyFont="1" applyFill="1" applyBorder="1" applyAlignment="1">
      <alignment horizontal="left" wrapText="1"/>
    </xf>
    <xf numFmtId="0" fontId="7" fillId="3" borderId="4" xfId="0" quotePrefix="1" applyFont="1" applyFill="1" applyBorder="1" applyAlignment="1">
      <alignment horizontal="left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7" fillId="3" borderId="3" xfId="0" quotePrefix="1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16" fillId="3" borderId="1" xfId="0" applyNumberFormat="1" applyFont="1" applyFill="1" applyBorder="1" applyAlignment="1" applyProtection="1">
      <alignment horizontal="center" vertical="center" wrapText="1"/>
    </xf>
    <xf numFmtId="0" fontId="16" fillId="3" borderId="2" xfId="0" applyNumberFormat="1" applyFont="1" applyFill="1" applyBorder="1" applyAlignment="1" applyProtection="1">
      <alignment horizontal="center" vertical="center" wrapText="1"/>
    </xf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22" fillId="8" borderId="3" xfId="0" applyFont="1" applyFill="1" applyBorder="1" applyAlignment="1">
      <alignment horizontal="center"/>
    </xf>
    <xf numFmtId="0" fontId="7" fillId="5" borderId="1" xfId="0" applyNumberFormat="1" applyFont="1" applyFill="1" applyBorder="1" applyAlignment="1" applyProtection="1">
      <alignment horizontal="left" vertical="center" wrapText="1"/>
    </xf>
    <xf numFmtId="0" fontId="7" fillId="5" borderId="2" xfId="0" applyNumberFormat="1" applyFont="1" applyFill="1" applyBorder="1" applyAlignment="1" applyProtection="1">
      <alignment horizontal="left" vertical="center" wrapTex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Alignment="1">
      <alignment horizontal="center"/>
    </xf>
  </cellXfs>
  <cellStyles count="4">
    <cellStyle name="Dobro" xfId="3" builtinId="26"/>
    <cellStyle name="Loše" xfId="2" builtinId="27"/>
    <cellStyle name="Normalno" xfId="0" builtinId="0"/>
    <cellStyle name="Obično_List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2"/>
  <sheetViews>
    <sheetView topLeftCell="A10" zoomScaleNormal="100" workbookViewId="0">
      <selection activeCell="L30" sqref="L30"/>
    </sheetView>
  </sheetViews>
  <sheetFormatPr defaultRowHeight="15" x14ac:dyDescent="0.25"/>
  <cols>
    <col min="6" max="7" width="25.28515625" customWidth="1"/>
    <col min="8" max="8" width="25.28515625" hidden="1" customWidth="1"/>
    <col min="9" max="9" width="25.28515625" customWidth="1"/>
    <col min="10" max="10" width="24.85546875" customWidth="1"/>
    <col min="11" max="11" width="10.42578125" customWidth="1"/>
    <col min="12" max="12" width="17.140625" customWidth="1"/>
    <col min="13" max="13" width="25.28515625" customWidth="1"/>
  </cols>
  <sheetData>
    <row r="2" spans="2:13" hidden="1" x14ac:dyDescent="0.25"/>
    <row r="3" spans="2:13" ht="34.5" customHeight="1" x14ac:dyDescent="0.25">
      <c r="F3" s="215" t="s">
        <v>265</v>
      </c>
      <c r="G3" s="215"/>
      <c r="H3" s="215"/>
      <c r="I3" s="215"/>
      <c r="J3" s="215"/>
    </row>
    <row r="4" spans="2:13" x14ac:dyDescent="0.25">
      <c r="F4" s="215"/>
      <c r="G4" s="215"/>
      <c r="H4" s="215"/>
      <c r="I4" s="215"/>
      <c r="J4" s="215"/>
    </row>
    <row r="7" spans="2:13" ht="42" customHeight="1" x14ac:dyDescent="0.25">
      <c r="B7" s="218" t="s">
        <v>257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4"/>
    </row>
    <row r="8" spans="2:13" ht="18" customHeight="1" x14ac:dyDescent="0.25"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3"/>
    </row>
    <row r="9" spans="2:13" ht="15.75" customHeight="1" x14ac:dyDescent="0.25">
      <c r="B9" s="218" t="s">
        <v>10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3"/>
    </row>
    <row r="10" spans="2:13" ht="18" x14ac:dyDescent="0.25"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4"/>
    </row>
    <row r="11" spans="2:13" ht="18" customHeight="1" x14ac:dyDescent="0.25">
      <c r="B11" s="218" t="s">
        <v>45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2"/>
    </row>
    <row r="12" spans="2:13" ht="18" customHeight="1" x14ac:dyDescent="0.25"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2"/>
    </row>
    <row r="13" spans="2:13" ht="18" customHeight="1" x14ac:dyDescent="0.25">
      <c r="B13" s="242" t="s">
        <v>52</v>
      </c>
      <c r="C13" s="242"/>
      <c r="D13" s="242"/>
      <c r="E13" s="242"/>
      <c r="F13" s="242"/>
      <c r="G13" s="46"/>
      <c r="H13" s="42"/>
      <c r="I13" s="42"/>
      <c r="J13" s="42"/>
      <c r="K13" s="43"/>
      <c r="L13" s="43"/>
    </row>
    <row r="14" spans="2:13" ht="25.5" x14ac:dyDescent="0.25">
      <c r="B14" s="226" t="s">
        <v>7</v>
      </c>
      <c r="C14" s="226"/>
      <c r="D14" s="226"/>
      <c r="E14" s="226"/>
      <c r="F14" s="226"/>
      <c r="G14" s="25" t="s">
        <v>259</v>
      </c>
      <c r="H14" s="25" t="s">
        <v>230</v>
      </c>
      <c r="I14" s="25" t="s">
        <v>254</v>
      </c>
      <c r="J14" s="25" t="s">
        <v>248</v>
      </c>
      <c r="K14" s="25" t="s">
        <v>21</v>
      </c>
      <c r="L14" s="25" t="s">
        <v>43</v>
      </c>
    </row>
    <row r="15" spans="2:13" ht="33.75" x14ac:dyDescent="0.25">
      <c r="B15" s="236">
        <v>1</v>
      </c>
      <c r="C15" s="236"/>
      <c r="D15" s="236"/>
      <c r="E15" s="236"/>
      <c r="F15" s="237"/>
      <c r="G15" s="29">
        <v>2</v>
      </c>
      <c r="H15" s="28">
        <v>3</v>
      </c>
      <c r="I15" s="28">
        <v>4</v>
      </c>
      <c r="J15" s="28">
        <v>5</v>
      </c>
      <c r="K15" s="28" t="s">
        <v>34</v>
      </c>
      <c r="L15" s="28" t="s">
        <v>35</v>
      </c>
    </row>
    <row r="16" spans="2:13" x14ac:dyDescent="0.25">
      <c r="B16" s="224" t="s">
        <v>23</v>
      </c>
      <c r="C16" s="225"/>
      <c r="D16" s="225"/>
      <c r="E16" s="225"/>
      <c r="F16" s="234"/>
      <c r="G16" s="133">
        <v>1683570.45</v>
      </c>
      <c r="H16" s="149">
        <v>1240965.3799999999</v>
      </c>
      <c r="I16" s="149">
        <v>2119332.27</v>
      </c>
      <c r="J16" s="149">
        <v>2191798.21</v>
      </c>
      <c r="K16" s="149">
        <f>(J16/G16)*100</f>
        <v>130.18749586630008</v>
      </c>
      <c r="L16" s="149">
        <f>(J16/I16)*100</f>
        <v>103.41928167780883</v>
      </c>
    </row>
    <row r="17" spans="1:49" x14ac:dyDescent="0.25">
      <c r="B17" s="235" t="s">
        <v>22</v>
      </c>
      <c r="C17" s="234"/>
      <c r="D17" s="234"/>
      <c r="E17" s="234"/>
      <c r="F17" s="234"/>
      <c r="G17" s="133">
        <v>0</v>
      </c>
      <c r="H17" s="134">
        <v>0</v>
      </c>
      <c r="I17" s="149">
        <v>0</v>
      </c>
      <c r="J17" s="149">
        <v>0</v>
      </c>
      <c r="K17" s="149">
        <v>0</v>
      </c>
      <c r="L17" s="149">
        <v>0</v>
      </c>
    </row>
    <row r="18" spans="1:49" x14ac:dyDescent="0.25">
      <c r="B18" s="231" t="s">
        <v>0</v>
      </c>
      <c r="C18" s="232"/>
      <c r="D18" s="232"/>
      <c r="E18" s="232"/>
      <c r="F18" s="233"/>
      <c r="G18" s="144">
        <v>1683570.45</v>
      </c>
      <c r="H18" s="144">
        <f t="shared" ref="H18:J18" si="0">+H16</f>
        <v>1240965.3799999999</v>
      </c>
      <c r="I18" s="144">
        <f t="shared" si="0"/>
        <v>2119332.27</v>
      </c>
      <c r="J18" s="144">
        <f t="shared" si="0"/>
        <v>2191798.21</v>
      </c>
      <c r="K18" s="135">
        <f>(J18/G18)*100</f>
        <v>130.18749586630008</v>
      </c>
      <c r="L18" s="135">
        <f>(J18/I18)*100</f>
        <v>103.41928167780883</v>
      </c>
    </row>
    <row r="19" spans="1:49" x14ac:dyDescent="0.25">
      <c r="B19" s="241" t="s">
        <v>24</v>
      </c>
      <c r="C19" s="225"/>
      <c r="D19" s="225"/>
      <c r="E19" s="225"/>
      <c r="F19" s="225"/>
      <c r="G19" s="136">
        <v>1432283.32</v>
      </c>
      <c r="H19" s="149">
        <v>1215533.83</v>
      </c>
      <c r="I19" s="149">
        <v>1656583.02</v>
      </c>
      <c r="J19" s="203">
        <v>1849102.51</v>
      </c>
      <c r="K19" s="149">
        <f>(J19/G19)*100</f>
        <v>129.1017275827802</v>
      </c>
      <c r="L19" s="137">
        <f>(J19/I19)*100</f>
        <v>111.62148154820517</v>
      </c>
    </row>
    <row r="20" spans="1:49" x14ac:dyDescent="0.25">
      <c r="B20" s="239" t="s">
        <v>25</v>
      </c>
      <c r="C20" s="234"/>
      <c r="D20" s="234"/>
      <c r="E20" s="234"/>
      <c r="F20" s="234"/>
      <c r="G20" s="133">
        <v>211505.38</v>
      </c>
      <c r="H20" s="150">
        <v>194545</v>
      </c>
      <c r="I20" s="150">
        <v>436587.76</v>
      </c>
      <c r="J20" s="150">
        <v>414046.66000000003</v>
      </c>
      <c r="K20" s="149">
        <f>(J20/G20)*100</f>
        <v>195.76176265587193</v>
      </c>
      <c r="L20" s="137">
        <f>(J20/I20)*100</f>
        <v>94.836983061549873</v>
      </c>
    </row>
    <row r="21" spans="1:49" x14ac:dyDescent="0.25">
      <c r="B21" s="17" t="s">
        <v>1</v>
      </c>
      <c r="C21" s="40"/>
      <c r="D21" s="40"/>
      <c r="E21" s="40"/>
      <c r="F21" s="40"/>
      <c r="G21" s="144">
        <v>1643788.7000000002</v>
      </c>
      <c r="H21" s="144">
        <f>+H20+H19</f>
        <v>1410078.83</v>
      </c>
      <c r="I21" s="135">
        <v>2146647.13</v>
      </c>
      <c r="J21" s="135">
        <f>+J20+J19</f>
        <v>2263149.17</v>
      </c>
      <c r="K21" s="135">
        <f>(J21/G21)*100</f>
        <v>137.67883731041587</v>
      </c>
      <c r="L21" s="135">
        <f>(J21/I21)*100</f>
        <v>105.42716305683646</v>
      </c>
    </row>
    <row r="22" spans="1:49" x14ac:dyDescent="0.25">
      <c r="B22" s="240" t="s">
        <v>2</v>
      </c>
      <c r="C22" s="232"/>
      <c r="D22" s="232"/>
      <c r="E22" s="232"/>
      <c r="F22" s="232"/>
      <c r="G22" s="139">
        <v>39781.749999999767</v>
      </c>
      <c r="H22" s="139">
        <f t="shared" ref="H22:J22" si="1">+H18-H21</f>
        <v>-169113.45000000019</v>
      </c>
      <c r="I22" s="139">
        <v>27314.86</v>
      </c>
      <c r="J22" s="139">
        <f t="shared" si="1"/>
        <v>-71350.959999999963</v>
      </c>
      <c r="K22" s="135">
        <f>(J22/G22)*100</f>
        <v>-179.35601123630906</v>
      </c>
      <c r="L22" s="135">
        <f>(J22/I22)*100</f>
        <v>-261.21664178399584</v>
      </c>
    </row>
    <row r="23" spans="1:49" ht="18" x14ac:dyDescent="0.25"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1"/>
    </row>
    <row r="24" spans="1:49" ht="18" customHeight="1" x14ac:dyDescent="0.25">
      <c r="B24" s="223" t="s">
        <v>49</v>
      </c>
      <c r="C24" s="223"/>
      <c r="D24" s="223"/>
      <c r="E24" s="223"/>
      <c r="F24" s="223"/>
      <c r="G24" s="41"/>
      <c r="H24" s="42"/>
      <c r="I24" s="42"/>
      <c r="J24" s="42"/>
      <c r="K24" s="43"/>
      <c r="L24" s="43"/>
      <c r="M24" s="1"/>
    </row>
    <row r="25" spans="1:49" ht="25.5" x14ac:dyDescent="0.25">
      <c r="B25" s="226" t="s">
        <v>7</v>
      </c>
      <c r="C25" s="226"/>
      <c r="D25" s="226"/>
      <c r="E25" s="226"/>
      <c r="F25" s="226"/>
      <c r="G25" s="25" t="s">
        <v>259</v>
      </c>
      <c r="H25" s="25" t="s">
        <v>230</v>
      </c>
      <c r="I25" s="25" t="s">
        <v>254</v>
      </c>
      <c r="J25" s="25" t="s">
        <v>248</v>
      </c>
      <c r="K25" s="2" t="s">
        <v>21</v>
      </c>
      <c r="L25" s="2" t="s">
        <v>43</v>
      </c>
    </row>
    <row r="26" spans="1:49" ht="33.75" x14ac:dyDescent="0.25">
      <c r="B26" s="227">
        <v>1</v>
      </c>
      <c r="C26" s="228"/>
      <c r="D26" s="228"/>
      <c r="E26" s="228"/>
      <c r="F26" s="228"/>
      <c r="G26" s="30">
        <v>2</v>
      </c>
      <c r="H26" s="28">
        <v>3</v>
      </c>
      <c r="I26" s="28">
        <v>4</v>
      </c>
      <c r="J26" s="28">
        <v>5</v>
      </c>
      <c r="K26" s="28" t="s">
        <v>34</v>
      </c>
      <c r="L26" s="28" t="s">
        <v>35</v>
      </c>
    </row>
    <row r="27" spans="1:49" ht="15.75" customHeight="1" x14ac:dyDescent="0.25">
      <c r="B27" s="224" t="s">
        <v>26</v>
      </c>
      <c r="C27" s="229"/>
      <c r="D27" s="229"/>
      <c r="E27" s="229"/>
      <c r="F27" s="229"/>
      <c r="G27" s="140">
        <v>8275</v>
      </c>
      <c r="H27" s="150">
        <v>185811.93</v>
      </c>
      <c r="I27" s="150">
        <v>0</v>
      </c>
      <c r="J27" s="150">
        <v>0</v>
      </c>
      <c r="K27" s="138">
        <v>0</v>
      </c>
      <c r="L27" s="138">
        <v>0</v>
      </c>
    </row>
    <row r="28" spans="1:49" x14ac:dyDescent="0.25">
      <c r="B28" s="224" t="s">
        <v>27</v>
      </c>
      <c r="C28" s="225"/>
      <c r="D28" s="225"/>
      <c r="E28" s="225"/>
      <c r="F28" s="225"/>
      <c r="G28" s="136">
        <v>57017.32</v>
      </c>
      <c r="H28" s="150">
        <v>59725.26</v>
      </c>
      <c r="I28" s="150">
        <v>47673.24</v>
      </c>
      <c r="J28" s="150">
        <v>47673.24</v>
      </c>
      <c r="K28" s="138">
        <v>0</v>
      </c>
      <c r="L28" s="138">
        <f>(J28/I28)*100</f>
        <v>100</v>
      </c>
    </row>
    <row r="29" spans="1:49" ht="15" customHeight="1" x14ac:dyDescent="0.25">
      <c r="B29" s="220" t="s">
        <v>44</v>
      </c>
      <c r="C29" s="221"/>
      <c r="D29" s="221"/>
      <c r="E29" s="221"/>
      <c r="F29" s="222"/>
      <c r="G29" s="141">
        <v>-48742.32</v>
      </c>
      <c r="H29" s="141">
        <f>+H27-H28</f>
        <v>126086.66999999998</v>
      </c>
      <c r="I29" s="141">
        <f>+I27-I28</f>
        <v>-47673.24</v>
      </c>
      <c r="J29" s="141">
        <f t="shared" ref="J29" si="2">+J27-J28</f>
        <v>-47673.24</v>
      </c>
      <c r="K29" s="142">
        <v>0</v>
      </c>
      <c r="L29" s="142">
        <f>(J29/I29)*100</f>
        <v>100</v>
      </c>
    </row>
    <row r="30" spans="1:49" s="33" customFormat="1" ht="15" customHeight="1" x14ac:dyDescent="0.25">
      <c r="A30"/>
      <c r="B30" s="224" t="s">
        <v>14</v>
      </c>
      <c r="C30" s="225"/>
      <c r="D30" s="225"/>
      <c r="E30" s="225"/>
      <c r="F30" s="225"/>
      <c r="G30" s="136">
        <v>-19198.25</v>
      </c>
      <c r="H30" s="150">
        <v>50092.22</v>
      </c>
      <c r="I30" s="150">
        <v>-20583.5</v>
      </c>
      <c r="J30" s="150">
        <v>-20583.5</v>
      </c>
      <c r="K30" s="138">
        <f>(J30/G30)*100</f>
        <v>107.2155014128892</v>
      </c>
      <c r="L30" s="138">
        <f>(J30/I30)*100</f>
        <v>100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s="33" customFormat="1" ht="15" customHeight="1" x14ac:dyDescent="0.25">
      <c r="A31"/>
      <c r="B31" s="224" t="s">
        <v>48</v>
      </c>
      <c r="C31" s="225"/>
      <c r="D31" s="225"/>
      <c r="E31" s="225"/>
      <c r="F31" s="225"/>
      <c r="G31" s="146">
        <v>0</v>
      </c>
      <c r="H31" s="172">
        <v>0</v>
      </c>
      <c r="I31" s="172">
        <v>0</v>
      </c>
      <c r="J31" s="138"/>
      <c r="K31" s="138">
        <f>(J31/G32)*100</f>
        <v>0</v>
      </c>
      <c r="L31" s="138">
        <v>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s="39" customFormat="1" x14ac:dyDescent="0.25">
      <c r="A32" s="38"/>
      <c r="B32" s="220" t="s">
        <v>50</v>
      </c>
      <c r="C32" s="221"/>
      <c r="D32" s="221"/>
      <c r="E32" s="221"/>
      <c r="F32" s="222"/>
      <c r="G32" s="141">
        <v>-19198.25</v>
      </c>
      <c r="H32" s="143">
        <f>SUM(H30:H31)</f>
        <v>50092.22</v>
      </c>
      <c r="I32" s="143">
        <v>-20583.5</v>
      </c>
      <c r="J32" s="143">
        <f>SUM(J30:J31)</f>
        <v>-20583.5</v>
      </c>
      <c r="K32" s="143">
        <f t="shared" ref="K32:L32" si="3">SUM(K30:K31)</f>
        <v>107.2155014128892</v>
      </c>
      <c r="L32" s="143">
        <f t="shared" si="3"/>
        <v>100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</row>
    <row r="33" spans="2:12" x14ac:dyDescent="0.25">
      <c r="B33" s="238" t="s">
        <v>51</v>
      </c>
      <c r="C33" s="238"/>
      <c r="D33" s="238"/>
      <c r="E33" s="238"/>
      <c r="F33" s="238"/>
      <c r="G33" s="145">
        <v>20583.499999999767</v>
      </c>
      <c r="H33" s="145">
        <f>+H22+H32</f>
        <v>-119021.23000000019</v>
      </c>
      <c r="I33" s="145">
        <v>95571.6</v>
      </c>
      <c r="J33" s="145">
        <v>139607.70000000001</v>
      </c>
      <c r="K33" s="143">
        <f>(J33/G33)*100</f>
        <v>678.25054048146137</v>
      </c>
      <c r="L33" s="143">
        <f>(J33/I33)*100</f>
        <v>146.07655412277288</v>
      </c>
    </row>
    <row r="35" spans="2:12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31"/>
    </row>
    <row r="36" spans="2:12" x14ac:dyDescent="0.25">
      <c r="B36" s="216" t="s">
        <v>53</v>
      </c>
      <c r="C36" s="216"/>
      <c r="D36" s="216"/>
      <c r="E36" s="216"/>
      <c r="F36" s="216"/>
      <c r="G36" s="216"/>
      <c r="H36" s="216"/>
      <c r="I36" s="216"/>
      <c r="J36" s="216"/>
      <c r="K36" s="216"/>
      <c r="L36" s="216"/>
    </row>
    <row r="37" spans="2:12" ht="15" customHeight="1" x14ac:dyDescent="0.25">
      <c r="B37" s="216" t="s">
        <v>54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</row>
    <row r="38" spans="2:12" ht="15" customHeight="1" x14ac:dyDescent="0.25">
      <c r="B38" s="216" t="s">
        <v>55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</row>
    <row r="39" spans="2:12" ht="15" customHeight="1" x14ac:dyDescent="0.25">
      <c r="B39" s="216" t="s">
        <v>56</v>
      </c>
      <c r="C39" s="216"/>
      <c r="D39" s="216"/>
      <c r="E39" s="216"/>
      <c r="F39" s="216"/>
      <c r="G39" s="216"/>
      <c r="H39" s="216"/>
      <c r="I39" s="216"/>
      <c r="J39" s="216"/>
      <c r="K39" s="216"/>
      <c r="L39" s="216"/>
    </row>
    <row r="40" spans="2:12" ht="36.75" customHeight="1" x14ac:dyDescent="0.25"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</row>
    <row r="41" spans="2:12" ht="15" customHeight="1" x14ac:dyDescent="0.25">
      <c r="B41" s="230" t="s">
        <v>57</v>
      </c>
      <c r="C41" s="230"/>
      <c r="D41" s="230"/>
      <c r="E41" s="230"/>
      <c r="F41" s="230"/>
      <c r="G41" s="230"/>
      <c r="H41" s="230"/>
      <c r="I41" s="230"/>
      <c r="J41" s="230"/>
      <c r="K41" s="230"/>
      <c r="L41" s="230"/>
    </row>
    <row r="42" spans="2:12" x14ac:dyDescent="0.25"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</row>
  </sheetData>
  <mergeCells count="32">
    <mergeCell ref="B7:L7"/>
    <mergeCell ref="B39:L40"/>
    <mergeCell ref="B41:L42"/>
    <mergeCell ref="B18:F18"/>
    <mergeCell ref="B28:F28"/>
    <mergeCell ref="B16:F16"/>
    <mergeCell ref="B17:F17"/>
    <mergeCell ref="B14:F14"/>
    <mergeCell ref="B15:F15"/>
    <mergeCell ref="B33:F33"/>
    <mergeCell ref="B20:F20"/>
    <mergeCell ref="B22:F22"/>
    <mergeCell ref="B19:F19"/>
    <mergeCell ref="B36:L36"/>
    <mergeCell ref="B37:L37"/>
    <mergeCell ref="B13:F13"/>
    <mergeCell ref="F3:J4"/>
    <mergeCell ref="B38:L38"/>
    <mergeCell ref="B8:L8"/>
    <mergeCell ref="B10:L10"/>
    <mergeCell ref="B12:L12"/>
    <mergeCell ref="B23:L23"/>
    <mergeCell ref="B11:L11"/>
    <mergeCell ref="B9:L9"/>
    <mergeCell ref="B32:F32"/>
    <mergeCell ref="B29:F29"/>
    <mergeCell ref="B24:F24"/>
    <mergeCell ref="B30:F30"/>
    <mergeCell ref="B31:F31"/>
    <mergeCell ref="B25:F25"/>
    <mergeCell ref="B26:F26"/>
    <mergeCell ref="B27:F27"/>
  </mergeCells>
  <pageMargins left="0.7" right="0.7" top="0.75" bottom="0.75" header="0.3" footer="0.3"/>
  <pageSetup paperSize="9" scale="64" orientation="landscape" r:id="rId1"/>
  <ignoredErrors>
    <ignoredError sqref="K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F923-6798-4813-BC83-7F2A80C99C63}">
  <sheetPr>
    <pageSetUpPr fitToPage="1"/>
  </sheetPr>
  <dimension ref="B1:L22"/>
  <sheetViews>
    <sheetView workbookViewId="0">
      <pane ySplit="8" topLeftCell="A9" activePane="bottomLeft" state="frozen"/>
      <selection pane="bottomLeft" activeCell="I11" sqref="I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7" width="25.28515625" customWidth="1"/>
    <col min="8" max="8" width="25.28515625" hidden="1" customWidth="1"/>
    <col min="9" max="9" width="25.28515625" customWidth="1"/>
    <col min="10" max="10" width="24.140625" customWidth="1"/>
    <col min="11" max="11" width="15.28515625" customWidth="1"/>
    <col min="12" max="12" width="16.28515625" customWidth="1"/>
  </cols>
  <sheetData>
    <row r="1" spans="2:12" ht="18" customHeight="1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15.75" customHeight="1" x14ac:dyDescent="0.25">
      <c r="B2" s="218" t="s">
        <v>10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2:12" ht="18" x14ac:dyDescent="0.25">
      <c r="B3" s="211"/>
      <c r="C3" s="211"/>
      <c r="D3" s="211"/>
      <c r="E3" s="211"/>
      <c r="F3" s="211"/>
      <c r="G3" s="211"/>
      <c r="H3" s="211"/>
      <c r="I3" s="211"/>
      <c r="J3" s="45"/>
      <c r="K3" s="45"/>
      <c r="L3" s="45"/>
    </row>
    <row r="4" spans="2:12" ht="18" customHeight="1" x14ac:dyDescent="0.25">
      <c r="B4" s="218" t="s">
        <v>260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</row>
    <row r="5" spans="2:12" ht="15.75" customHeight="1" x14ac:dyDescent="0.25">
      <c r="B5" s="218" t="s">
        <v>261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</row>
    <row r="6" spans="2:12" ht="18" x14ac:dyDescent="0.25">
      <c r="B6" s="211"/>
      <c r="C6" s="211"/>
      <c r="D6" s="211"/>
      <c r="E6" s="211"/>
      <c r="F6" s="211"/>
      <c r="G6" s="211"/>
      <c r="H6" s="211"/>
      <c r="I6" s="211"/>
      <c r="J6" s="45"/>
      <c r="K6" s="45"/>
      <c r="L6" s="45"/>
    </row>
    <row r="7" spans="2:12" ht="25.5" customHeight="1" x14ac:dyDescent="0.25">
      <c r="B7" s="243" t="s">
        <v>7</v>
      </c>
      <c r="C7" s="244"/>
      <c r="D7" s="244"/>
      <c r="E7" s="244"/>
      <c r="F7" s="245"/>
      <c r="G7" s="213" t="s">
        <v>224</v>
      </c>
      <c r="H7" s="213" t="s">
        <v>262</v>
      </c>
      <c r="I7" s="213" t="s">
        <v>266</v>
      </c>
      <c r="J7" s="213" t="s">
        <v>248</v>
      </c>
      <c r="K7" s="213" t="s">
        <v>21</v>
      </c>
      <c r="L7" s="213" t="s">
        <v>43</v>
      </c>
    </row>
    <row r="8" spans="2:12" x14ac:dyDescent="0.25">
      <c r="B8" s="243">
        <v>1</v>
      </c>
      <c r="C8" s="244"/>
      <c r="D8" s="244"/>
      <c r="E8" s="244"/>
      <c r="F8" s="245"/>
      <c r="G8" s="212">
        <v>2</v>
      </c>
      <c r="H8" s="212">
        <v>3</v>
      </c>
      <c r="I8" s="212">
        <v>4</v>
      </c>
      <c r="J8" s="212">
        <v>5</v>
      </c>
      <c r="K8" s="212" t="s">
        <v>34</v>
      </c>
      <c r="L8" s="212" t="s">
        <v>35</v>
      </c>
    </row>
    <row r="9" spans="2:12" ht="25.5" x14ac:dyDescent="0.25">
      <c r="B9" s="5">
        <v>8</v>
      </c>
      <c r="C9" s="5"/>
      <c r="D9" s="5"/>
      <c r="E9" s="5"/>
      <c r="F9" s="5" t="s">
        <v>8</v>
      </c>
      <c r="G9" s="60">
        <f>+G10</f>
        <v>8275</v>
      </c>
      <c r="H9" s="60">
        <f>+H10</f>
        <v>185811.93</v>
      </c>
      <c r="I9" s="60">
        <f>+I10</f>
        <v>0</v>
      </c>
      <c r="J9" s="122"/>
      <c r="K9" s="122">
        <v>0</v>
      </c>
      <c r="L9" s="122">
        <v>0</v>
      </c>
    </row>
    <row r="10" spans="2:12" x14ac:dyDescent="0.25">
      <c r="B10" s="5"/>
      <c r="C10" s="10">
        <v>84</v>
      </c>
      <c r="D10" s="10"/>
      <c r="E10" s="10"/>
      <c r="F10" s="10" t="s">
        <v>12</v>
      </c>
      <c r="G10" s="60">
        <v>8275</v>
      </c>
      <c r="H10" s="60">
        <f>SUM(H11,H13)</f>
        <v>185811.93</v>
      </c>
      <c r="I10" s="60">
        <v>0</v>
      </c>
      <c r="J10" s="60"/>
      <c r="K10" s="60">
        <f>SUM(K11,K13)</f>
        <v>0</v>
      </c>
      <c r="L10" s="60">
        <f>SUM(L11,L13)</f>
        <v>0</v>
      </c>
    </row>
    <row r="11" spans="2:12" ht="51" x14ac:dyDescent="0.25">
      <c r="B11" s="6"/>
      <c r="C11" s="6"/>
      <c r="D11" s="6">
        <v>841</v>
      </c>
      <c r="E11" s="6"/>
      <c r="F11" s="21" t="s">
        <v>263</v>
      </c>
      <c r="G11" s="60">
        <f>+G12</f>
        <v>0</v>
      </c>
      <c r="H11" s="60">
        <f>+H12</f>
        <v>0</v>
      </c>
      <c r="I11" s="60">
        <f>+I12</f>
        <v>0</v>
      </c>
      <c r="J11" s="122">
        <f>+J12</f>
        <v>0</v>
      </c>
      <c r="K11" s="122">
        <v>0</v>
      </c>
      <c r="L11" s="122">
        <v>0</v>
      </c>
    </row>
    <row r="12" spans="2:12" ht="25.5" x14ac:dyDescent="0.25">
      <c r="B12" s="6"/>
      <c r="C12" s="6"/>
      <c r="D12" s="6"/>
      <c r="E12" s="6">
        <v>8413</v>
      </c>
      <c r="F12" s="21" t="s">
        <v>264</v>
      </c>
      <c r="G12" s="60">
        <v>0</v>
      </c>
      <c r="H12" s="60">
        <v>0</v>
      </c>
      <c r="I12" s="60">
        <v>0</v>
      </c>
      <c r="J12" s="122">
        <v>0</v>
      </c>
      <c r="K12" s="122">
        <v>0</v>
      </c>
      <c r="L12" s="122">
        <v>0</v>
      </c>
    </row>
    <row r="13" spans="2:12" ht="38.25" x14ac:dyDescent="0.25">
      <c r="B13" s="6"/>
      <c r="C13" s="6"/>
      <c r="D13" s="6">
        <v>844</v>
      </c>
      <c r="E13" s="6"/>
      <c r="F13" s="21" t="s">
        <v>219</v>
      </c>
      <c r="G13" s="60">
        <v>0</v>
      </c>
      <c r="H13" s="60">
        <f>+H14</f>
        <v>185811.93</v>
      </c>
      <c r="I13" s="60">
        <v>0</v>
      </c>
      <c r="J13" s="60">
        <f>+J14</f>
        <v>0</v>
      </c>
      <c r="K13" s="122"/>
      <c r="L13" s="122"/>
    </row>
    <row r="14" spans="2:12" ht="38.25" x14ac:dyDescent="0.25">
      <c r="B14" s="6"/>
      <c r="C14" s="6"/>
      <c r="D14" s="6"/>
      <c r="E14" s="6">
        <v>8443</v>
      </c>
      <c r="F14" s="21" t="s">
        <v>220</v>
      </c>
      <c r="G14" s="60">
        <v>8275</v>
      </c>
      <c r="H14" s="60">
        <v>185811.93</v>
      </c>
      <c r="I14" s="60">
        <v>0</v>
      </c>
      <c r="J14" s="122"/>
      <c r="K14" s="122"/>
      <c r="L14" s="122"/>
    </row>
    <row r="15" spans="2:12" ht="25.5" x14ac:dyDescent="0.25">
      <c r="B15" s="8">
        <v>5</v>
      </c>
      <c r="C15" s="9"/>
      <c r="D15" s="9"/>
      <c r="E15" s="9"/>
      <c r="F15" s="14" t="s">
        <v>208</v>
      </c>
      <c r="G15" s="60">
        <f>+G16</f>
        <v>57017.32</v>
      </c>
      <c r="H15" s="60">
        <f>+H16</f>
        <v>59725.26</v>
      </c>
      <c r="I15" s="60">
        <f>+I16</f>
        <v>47673.24</v>
      </c>
      <c r="J15" s="122">
        <f>+J16</f>
        <v>47673.24</v>
      </c>
      <c r="K15" s="122">
        <v>0</v>
      </c>
      <c r="L15" s="122">
        <v>100</v>
      </c>
    </row>
    <row r="16" spans="2:12" ht="25.5" x14ac:dyDescent="0.25">
      <c r="B16" s="10"/>
      <c r="C16" s="10">
        <v>54</v>
      </c>
      <c r="D16" s="10"/>
      <c r="E16" s="10"/>
      <c r="F16" s="15" t="s">
        <v>209</v>
      </c>
      <c r="G16" s="60">
        <v>57017.32</v>
      </c>
      <c r="H16" s="60">
        <f>+H17</f>
        <v>59725.26</v>
      </c>
      <c r="I16" s="214">
        <v>47673.24</v>
      </c>
      <c r="J16" s="122">
        <v>47673.24</v>
      </c>
      <c r="K16" s="122">
        <v>0</v>
      </c>
      <c r="L16" s="122">
        <v>100</v>
      </c>
    </row>
    <row r="17" spans="2:12" ht="63.75" x14ac:dyDescent="0.25">
      <c r="B17" s="10"/>
      <c r="C17" s="10"/>
      <c r="D17" s="10">
        <v>544</v>
      </c>
      <c r="E17" s="21"/>
      <c r="F17" s="21" t="s">
        <v>213</v>
      </c>
      <c r="G17" s="60">
        <v>57017.32</v>
      </c>
      <c r="H17" s="60">
        <f>+H18</f>
        <v>59725.26</v>
      </c>
      <c r="I17" s="214">
        <v>47673.24</v>
      </c>
      <c r="J17" s="122">
        <f>+J18</f>
        <v>47673.24</v>
      </c>
      <c r="K17" s="122">
        <v>0</v>
      </c>
      <c r="L17" s="122">
        <v>100</v>
      </c>
    </row>
    <row r="18" spans="2:12" ht="51" x14ac:dyDescent="0.25">
      <c r="B18" s="10"/>
      <c r="C18" s="10"/>
      <c r="D18" s="10"/>
      <c r="E18" s="21">
        <v>5443</v>
      </c>
      <c r="F18" s="21" t="s">
        <v>221</v>
      </c>
      <c r="G18" s="60">
        <v>57017.32</v>
      </c>
      <c r="H18" s="60">
        <v>59725.26</v>
      </c>
      <c r="I18" s="214">
        <v>47673.24</v>
      </c>
      <c r="J18" s="122">
        <v>47673.24</v>
      </c>
      <c r="K18" s="122">
        <v>0</v>
      </c>
      <c r="L18" s="122">
        <v>100</v>
      </c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25"/>
  <sheetViews>
    <sheetView zoomScale="90" zoomScaleNormal="90" workbookViewId="0">
      <selection activeCell="I14" sqref="I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7" width="25.140625" style="61" customWidth="1"/>
    <col min="8" max="8" width="25.28515625" style="61" hidden="1" customWidth="1"/>
    <col min="9" max="9" width="25.28515625" style="61" customWidth="1"/>
    <col min="10" max="10" width="25.140625" style="61" customWidth="1"/>
    <col min="11" max="11" width="17.140625" style="61" customWidth="1"/>
    <col min="12" max="12" width="15.7109375" style="61" customWidth="1"/>
    <col min="13" max="13" width="27.5703125" customWidth="1"/>
  </cols>
  <sheetData>
    <row r="1" spans="2:12" ht="18" x14ac:dyDescent="0.25"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2:12" ht="15.75" customHeight="1" x14ac:dyDescent="0.25">
      <c r="B2" s="218" t="s">
        <v>10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2:12" ht="18" x14ac:dyDescent="0.25"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</row>
    <row r="4" spans="2:12" ht="15.75" customHeight="1" x14ac:dyDescent="0.25">
      <c r="B4" s="218" t="s">
        <v>46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</row>
    <row r="5" spans="2:12" ht="18" x14ac:dyDescent="0.25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</row>
    <row r="6" spans="2:12" ht="15.75" customHeight="1" x14ac:dyDescent="0.25">
      <c r="B6" s="218" t="s">
        <v>36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2:12" ht="18" x14ac:dyDescent="0.25"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</row>
    <row r="8" spans="2:12" ht="45" customHeight="1" x14ac:dyDescent="0.25">
      <c r="B8" s="243" t="s">
        <v>7</v>
      </c>
      <c r="C8" s="244"/>
      <c r="D8" s="244"/>
      <c r="E8" s="244"/>
      <c r="F8" s="245"/>
      <c r="G8" s="57" t="s">
        <v>224</v>
      </c>
      <c r="H8" s="57" t="s">
        <v>247</v>
      </c>
      <c r="I8" s="57" t="s">
        <v>254</v>
      </c>
      <c r="J8" s="57" t="s">
        <v>248</v>
      </c>
      <c r="K8" s="57" t="s">
        <v>21</v>
      </c>
      <c r="L8" s="57" t="s">
        <v>43</v>
      </c>
    </row>
    <row r="9" spans="2:12" x14ac:dyDescent="0.25">
      <c r="B9" s="246">
        <v>1</v>
      </c>
      <c r="C9" s="247"/>
      <c r="D9" s="247"/>
      <c r="E9" s="247"/>
      <c r="F9" s="248"/>
      <c r="G9" s="34">
        <v>2</v>
      </c>
      <c r="H9" s="34">
        <v>3</v>
      </c>
      <c r="I9" s="34">
        <v>4</v>
      </c>
      <c r="J9" s="34">
        <v>5</v>
      </c>
      <c r="K9" s="58" t="s">
        <v>34</v>
      </c>
      <c r="L9" s="58" t="s">
        <v>35</v>
      </c>
    </row>
    <row r="10" spans="2:12" x14ac:dyDescent="0.25">
      <c r="B10" s="5"/>
      <c r="C10" s="5"/>
      <c r="D10" s="5"/>
      <c r="E10" s="5"/>
      <c r="F10" s="5" t="s">
        <v>42</v>
      </c>
      <c r="G10" s="154">
        <v>1683570.45</v>
      </c>
      <c r="H10" s="154">
        <f>+H11+H36+H40+H44</f>
        <v>1488376.31</v>
      </c>
      <c r="I10" s="154">
        <v>2146647.13</v>
      </c>
      <c r="J10" s="199">
        <v>2191798.21</v>
      </c>
      <c r="K10" s="124">
        <f t="shared" ref="K10:K26" si="0">(J10/G10)*100</f>
        <v>130.18749586630008</v>
      </c>
      <c r="L10" s="124">
        <f t="shared" ref="L10:L31" si="1">(J10/I10)*100</f>
        <v>102.10333032238978</v>
      </c>
    </row>
    <row r="11" spans="2:12" x14ac:dyDescent="0.25">
      <c r="B11" s="5">
        <v>6</v>
      </c>
      <c r="C11" s="5"/>
      <c r="D11" s="5"/>
      <c r="E11" s="5"/>
      <c r="F11" s="5" t="s">
        <v>3</v>
      </c>
      <c r="G11" s="64">
        <v>1683570.45</v>
      </c>
      <c r="H11" s="64">
        <f>+H12+H19+H22+H28</f>
        <v>1463249.3800000001</v>
      </c>
      <c r="I11" s="64">
        <v>2119332.27</v>
      </c>
      <c r="J11" s="64">
        <v>2191798.21</v>
      </c>
      <c r="K11" s="124">
        <f t="shared" si="0"/>
        <v>130.18749586630008</v>
      </c>
      <c r="L11" s="124">
        <f t="shared" si="1"/>
        <v>103.41928167780883</v>
      </c>
    </row>
    <row r="12" spans="2:12" ht="25.5" x14ac:dyDescent="0.25">
      <c r="B12" s="5"/>
      <c r="C12" s="5">
        <v>63</v>
      </c>
      <c r="D12" s="5"/>
      <c r="E12" s="5"/>
      <c r="F12" s="5" t="s">
        <v>13</v>
      </c>
      <c r="G12" s="64">
        <f>+G13+G16</f>
        <v>1247235.29</v>
      </c>
      <c r="H12" s="64">
        <f>+H13+H16</f>
        <v>1274160.6299999999</v>
      </c>
      <c r="I12" s="64">
        <f>+I13+I16</f>
        <v>1279861.8899999999</v>
      </c>
      <c r="J12" s="64">
        <v>1347069.53</v>
      </c>
      <c r="K12" s="124">
        <f t="shared" si="0"/>
        <v>108.00444317126401</v>
      </c>
      <c r="L12" s="124">
        <f t="shared" si="1"/>
        <v>105.25116346733319</v>
      </c>
    </row>
    <row r="13" spans="2:12" ht="25.5" x14ac:dyDescent="0.25">
      <c r="B13" s="16"/>
      <c r="C13" s="16"/>
      <c r="D13" s="16">
        <v>636</v>
      </c>
      <c r="E13" s="16"/>
      <c r="F13" s="106" t="s">
        <v>162</v>
      </c>
      <c r="G13" s="64">
        <f>+G14+G15</f>
        <v>1244757.55</v>
      </c>
      <c r="H13" s="64">
        <f>+H14+H15</f>
        <v>1274160.6299999999</v>
      </c>
      <c r="I13" s="64">
        <v>1279861.8899999999</v>
      </c>
      <c r="J13" s="64">
        <v>1347069.53</v>
      </c>
      <c r="K13" s="124">
        <f t="shared" si="0"/>
        <v>108.21943036216169</v>
      </c>
      <c r="L13" s="124">
        <f t="shared" si="1"/>
        <v>105.25116346733319</v>
      </c>
    </row>
    <row r="14" spans="2:12" ht="25.5" x14ac:dyDescent="0.25">
      <c r="B14" s="6"/>
      <c r="C14" s="6"/>
      <c r="D14" s="6"/>
      <c r="E14" s="6">
        <v>6361</v>
      </c>
      <c r="F14" s="21" t="s">
        <v>163</v>
      </c>
      <c r="G14" s="60">
        <v>1243767.55</v>
      </c>
      <c r="H14" s="60">
        <v>1274160.6299999999</v>
      </c>
      <c r="I14" s="60">
        <v>1279861.8899999999</v>
      </c>
      <c r="J14" s="122">
        <v>1346629.53</v>
      </c>
      <c r="K14" s="122">
        <f t="shared" si="0"/>
        <v>108.27019325275049</v>
      </c>
      <c r="L14" s="122">
        <f t="shared" si="1"/>
        <v>105.21678475792417</v>
      </c>
    </row>
    <row r="15" spans="2:12" ht="25.5" x14ac:dyDescent="0.25">
      <c r="B15" s="6"/>
      <c r="C15" s="6"/>
      <c r="D15" s="6"/>
      <c r="E15" s="6">
        <v>6362</v>
      </c>
      <c r="F15" s="21" t="s">
        <v>211</v>
      </c>
      <c r="G15" s="60">
        <v>990</v>
      </c>
      <c r="H15" s="60">
        <v>0</v>
      </c>
      <c r="I15" s="60">
        <v>0</v>
      </c>
      <c r="J15" s="122">
        <v>440</v>
      </c>
      <c r="K15" s="122">
        <f t="shared" si="0"/>
        <v>44.444444444444443</v>
      </c>
      <c r="L15" s="122">
        <v>0</v>
      </c>
    </row>
    <row r="16" spans="2:12" ht="25.5" x14ac:dyDescent="0.25">
      <c r="B16" s="16"/>
      <c r="C16" s="16"/>
      <c r="D16" s="16">
        <v>639</v>
      </c>
      <c r="E16" s="16"/>
      <c r="F16" s="106" t="s">
        <v>164</v>
      </c>
      <c r="G16" s="64">
        <f>+G17+G18</f>
        <v>2477.7399999999998</v>
      </c>
      <c r="H16" s="64">
        <f>+H17+H18</f>
        <v>0</v>
      </c>
      <c r="I16" s="64">
        <f>+I17+I18</f>
        <v>0</v>
      </c>
      <c r="J16" s="64">
        <f>+J17+J18</f>
        <v>0</v>
      </c>
      <c r="K16" s="124">
        <f t="shared" si="0"/>
        <v>0</v>
      </c>
      <c r="L16" s="124"/>
    </row>
    <row r="17" spans="2:12" ht="25.5" x14ac:dyDescent="0.25">
      <c r="B17" s="6"/>
      <c r="C17" s="6"/>
      <c r="D17" s="6"/>
      <c r="E17" s="7">
        <v>6391</v>
      </c>
      <c r="F17" s="21" t="s">
        <v>165</v>
      </c>
      <c r="G17" s="60">
        <v>371.66</v>
      </c>
      <c r="H17" s="60">
        <v>0</v>
      </c>
      <c r="I17" s="60">
        <v>0</v>
      </c>
      <c r="J17" s="122">
        <v>0</v>
      </c>
      <c r="K17" s="122">
        <f t="shared" si="0"/>
        <v>0</v>
      </c>
      <c r="L17" s="122">
        <v>0</v>
      </c>
    </row>
    <row r="18" spans="2:12" ht="25.5" x14ac:dyDescent="0.25">
      <c r="B18" s="6"/>
      <c r="C18" s="6"/>
      <c r="D18" s="6"/>
      <c r="E18" s="7">
        <v>6393</v>
      </c>
      <c r="F18" s="21" t="s">
        <v>166</v>
      </c>
      <c r="G18" s="60">
        <v>2106.08</v>
      </c>
      <c r="H18" s="60">
        <v>0</v>
      </c>
      <c r="I18" s="60">
        <v>0</v>
      </c>
      <c r="J18" s="122">
        <v>0</v>
      </c>
      <c r="K18" s="122">
        <f t="shared" si="0"/>
        <v>0</v>
      </c>
      <c r="L18" s="122"/>
    </row>
    <row r="19" spans="2:12" ht="38.25" x14ac:dyDescent="0.25">
      <c r="B19" s="6"/>
      <c r="C19" s="16">
        <v>65</v>
      </c>
      <c r="D19" s="16"/>
      <c r="E19" s="107"/>
      <c r="F19" s="106" t="s">
        <v>167</v>
      </c>
      <c r="G19" s="64">
        <f t="shared" ref="G19:I20" si="2">+G20</f>
        <v>5865</v>
      </c>
      <c r="H19" s="64">
        <f t="shared" si="2"/>
        <v>4166.3599999999997</v>
      </c>
      <c r="I19" s="64">
        <f t="shared" si="2"/>
        <v>8666.36</v>
      </c>
      <c r="J19" s="64">
        <v>10700</v>
      </c>
      <c r="K19" s="124">
        <f t="shared" si="0"/>
        <v>182.4381926683717</v>
      </c>
      <c r="L19" s="124">
        <f t="shared" si="1"/>
        <v>123.46590725517979</v>
      </c>
    </row>
    <row r="20" spans="2:12" x14ac:dyDescent="0.25">
      <c r="B20" s="6"/>
      <c r="C20" s="6"/>
      <c r="D20" s="16">
        <v>652</v>
      </c>
      <c r="E20" s="107"/>
      <c r="F20" s="106" t="s">
        <v>168</v>
      </c>
      <c r="G20" s="64">
        <f t="shared" si="2"/>
        <v>5865</v>
      </c>
      <c r="H20" s="64">
        <f t="shared" si="2"/>
        <v>4166.3599999999997</v>
      </c>
      <c r="I20" s="64">
        <f t="shared" si="2"/>
        <v>8666.36</v>
      </c>
      <c r="J20" s="64">
        <v>10700</v>
      </c>
      <c r="K20" s="124">
        <f t="shared" si="0"/>
        <v>182.4381926683717</v>
      </c>
      <c r="L20" s="124">
        <f t="shared" si="1"/>
        <v>123.46590725517979</v>
      </c>
    </row>
    <row r="21" spans="2:12" x14ac:dyDescent="0.25">
      <c r="B21" s="6"/>
      <c r="C21" s="6"/>
      <c r="D21" s="6"/>
      <c r="E21" s="7">
        <v>6526</v>
      </c>
      <c r="F21" s="21" t="s">
        <v>169</v>
      </c>
      <c r="G21" s="60">
        <v>5865</v>
      </c>
      <c r="H21" s="60">
        <v>4166.3599999999997</v>
      </c>
      <c r="I21" s="151">
        <v>8666.36</v>
      </c>
      <c r="J21" s="122">
        <v>10700</v>
      </c>
      <c r="K21" s="122">
        <f t="shared" si="0"/>
        <v>182.4381926683717</v>
      </c>
      <c r="L21" s="122">
        <f t="shared" si="1"/>
        <v>123.46590725517979</v>
      </c>
    </row>
    <row r="22" spans="2:12" ht="38.25" x14ac:dyDescent="0.25">
      <c r="B22" s="6"/>
      <c r="C22" s="16">
        <v>66</v>
      </c>
      <c r="D22" s="16"/>
      <c r="E22" s="107"/>
      <c r="F22" s="106" t="s">
        <v>170</v>
      </c>
      <c r="G22" s="64">
        <f>+G23+G25</f>
        <v>23400.030000000002</v>
      </c>
      <c r="H22" s="64">
        <f>+H23+H25</f>
        <v>27061.34</v>
      </c>
      <c r="I22" s="64">
        <f>+I23+I25</f>
        <v>35161.339999999997</v>
      </c>
      <c r="J22" s="64">
        <v>47752.5</v>
      </c>
      <c r="K22" s="124">
        <f t="shared" si="0"/>
        <v>204.07025119198562</v>
      </c>
      <c r="L22" s="124">
        <f t="shared" si="1"/>
        <v>135.80967050743803</v>
      </c>
    </row>
    <row r="23" spans="2:12" ht="25.5" x14ac:dyDescent="0.25">
      <c r="B23" s="6"/>
      <c r="C23" s="6"/>
      <c r="D23" s="16">
        <v>661</v>
      </c>
      <c r="E23" s="107"/>
      <c r="F23" s="106" t="s">
        <v>28</v>
      </c>
      <c r="G23" s="64">
        <f>+G24</f>
        <v>19106.060000000001</v>
      </c>
      <c r="H23" s="64">
        <f>+H24</f>
        <v>23761.34</v>
      </c>
      <c r="I23" s="64">
        <f>+I24</f>
        <v>24361.34</v>
      </c>
      <c r="J23" s="64">
        <f>+J24</f>
        <v>32312.5</v>
      </c>
      <c r="K23" s="124">
        <f t="shared" si="0"/>
        <v>169.12173415136348</v>
      </c>
      <c r="L23" s="124">
        <f t="shared" si="1"/>
        <v>132.63843450319234</v>
      </c>
    </row>
    <row r="24" spans="2:12" x14ac:dyDescent="0.25">
      <c r="B24" s="6"/>
      <c r="C24" s="6"/>
      <c r="D24" s="6"/>
      <c r="E24" s="7">
        <v>6615</v>
      </c>
      <c r="F24" s="21" t="s">
        <v>171</v>
      </c>
      <c r="G24" s="60">
        <v>19106.060000000001</v>
      </c>
      <c r="H24" s="60">
        <v>23761.34</v>
      </c>
      <c r="I24" s="151">
        <v>24361.34</v>
      </c>
      <c r="J24" s="122">
        <v>32312.5</v>
      </c>
      <c r="K24" s="122">
        <f t="shared" si="0"/>
        <v>169.12173415136348</v>
      </c>
      <c r="L24" s="122">
        <f t="shared" si="1"/>
        <v>132.63843450319234</v>
      </c>
    </row>
    <row r="25" spans="2:12" x14ac:dyDescent="0.25">
      <c r="B25" s="16"/>
      <c r="C25" s="16"/>
      <c r="D25" s="16">
        <v>663</v>
      </c>
      <c r="E25" s="107"/>
      <c r="F25" s="106" t="s">
        <v>172</v>
      </c>
      <c r="G25" s="64">
        <f>+G26+G27</f>
        <v>4293.97</v>
      </c>
      <c r="H25" s="64">
        <f>+H26+H27</f>
        <v>3300</v>
      </c>
      <c r="I25" s="64">
        <f>+I26</f>
        <v>10800</v>
      </c>
      <c r="J25" s="124">
        <f>+J26+J27</f>
        <v>15440</v>
      </c>
      <c r="K25" s="122">
        <f t="shared" si="0"/>
        <v>359.57400727066096</v>
      </c>
      <c r="L25" s="122">
        <f t="shared" si="1"/>
        <v>142.96296296296296</v>
      </c>
    </row>
    <row r="26" spans="2:12" x14ac:dyDescent="0.25">
      <c r="B26" s="6"/>
      <c r="C26" s="6"/>
      <c r="D26" s="6"/>
      <c r="E26" s="7">
        <v>6631</v>
      </c>
      <c r="F26" s="21" t="s">
        <v>173</v>
      </c>
      <c r="G26" s="60">
        <v>3930</v>
      </c>
      <c r="H26" s="60">
        <v>3300</v>
      </c>
      <c r="I26" s="151">
        <v>10800</v>
      </c>
      <c r="J26" s="122">
        <v>14810</v>
      </c>
      <c r="K26" s="122">
        <f t="shared" si="0"/>
        <v>376.84478371501268</v>
      </c>
      <c r="L26" s="122">
        <f t="shared" si="1"/>
        <v>137.12962962962962</v>
      </c>
    </row>
    <row r="27" spans="2:12" x14ac:dyDescent="0.25">
      <c r="B27" s="6"/>
      <c r="C27" s="6"/>
      <c r="D27" s="6"/>
      <c r="E27" s="7">
        <v>6632</v>
      </c>
      <c r="F27" s="21" t="s">
        <v>222</v>
      </c>
      <c r="G27" s="60">
        <v>363.97</v>
      </c>
      <c r="H27" s="60">
        <v>0</v>
      </c>
      <c r="I27" s="60">
        <v>0</v>
      </c>
      <c r="J27" s="122">
        <v>630</v>
      </c>
      <c r="K27" s="122">
        <v>0</v>
      </c>
      <c r="L27" s="122"/>
    </row>
    <row r="28" spans="2:12" ht="25.5" x14ac:dyDescent="0.25">
      <c r="B28" s="6"/>
      <c r="C28" s="16">
        <v>67</v>
      </c>
      <c r="D28" s="16"/>
      <c r="E28" s="107"/>
      <c r="F28" s="106" t="s">
        <v>174</v>
      </c>
      <c r="G28" s="64">
        <f>+G29</f>
        <v>407040.13</v>
      </c>
      <c r="H28" s="64">
        <f>+H29</f>
        <v>157861.04999999999</v>
      </c>
      <c r="I28" s="64">
        <f>+I29</f>
        <v>795641.19</v>
      </c>
      <c r="J28" s="64">
        <f>+J29</f>
        <v>785944.38</v>
      </c>
      <c r="K28" s="124">
        <f>(J28/G28)*100</f>
        <v>193.08768892148299</v>
      </c>
      <c r="L28" s="124">
        <f t="shared" si="1"/>
        <v>98.78125842127406</v>
      </c>
    </row>
    <row r="29" spans="2:12" ht="38.25" x14ac:dyDescent="0.25">
      <c r="B29" s="6"/>
      <c r="C29" s="6"/>
      <c r="D29" s="16">
        <v>671</v>
      </c>
      <c r="E29" s="107"/>
      <c r="F29" s="106" t="s">
        <v>175</v>
      </c>
      <c r="G29" s="64">
        <v>407040.13</v>
      </c>
      <c r="H29" s="64">
        <f>+H30+H31+H32</f>
        <v>157861.04999999999</v>
      </c>
      <c r="I29" s="64">
        <f>+I30+I31+I32</f>
        <v>795641.19</v>
      </c>
      <c r="J29" s="64">
        <f>+J30+J31+J32</f>
        <v>785944.38</v>
      </c>
      <c r="K29" s="124">
        <f>(J29/G29)*100</f>
        <v>193.08768892148299</v>
      </c>
      <c r="L29" s="124">
        <f t="shared" si="1"/>
        <v>98.78125842127406</v>
      </c>
    </row>
    <row r="30" spans="2:12" ht="25.5" x14ac:dyDescent="0.25">
      <c r="B30" s="6"/>
      <c r="C30" s="6"/>
      <c r="D30" s="6"/>
      <c r="E30" s="7">
        <v>6711</v>
      </c>
      <c r="F30" s="21" t="s">
        <v>176</v>
      </c>
      <c r="G30" s="158">
        <v>158555.34</v>
      </c>
      <c r="H30" s="158">
        <v>102896.53</v>
      </c>
      <c r="I30" s="151">
        <v>334627.26</v>
      </c>
      <c r="J30" s="122">
        <v>334629.2</v>
      </c>
      <c r="K30" s="122">
        <f>(J30/G30)*100</f>
        <v>211.04883632427644</v>
      </c>
      <c r="L30" s="122">
        <f t="shared" si="1"/>
        <v>100.00057974953984</v>
      </c>
    </row>
    <row r="31" spans="2:12" ht="25.5" x14ac:dyDescent="0.25">
      <c r="B31" s="6"/>
      <c r="C31" s="6"/>
      <c r="D31" s="6"/>
      <c r="E31" s="7">
        <v>6712</v>
      </c>
      <c r="F31" s="21" t="s">
        <v>177</v>
      </c>
      <c r="G31" s="158">
        <v>191497.47</v>
      </c>
      <c r="H31" s="158">
        <v>0</v>
      </c>
      <c r="I31" s="151">
        <v>413340.69</v>
      </c>
      <c r="J31" s="122">
        <v>403641.94</v>
      </c>
      <c r="K31" s="122">
        <v>0</v>
      </c>
      <c r="L31" s="122">
        <f t="shared" si="1"/>
        <v>97.653569988476093</v>
      </c>
    </row>
    <row r="32" spans="2:12" ht="25.5" x14ac:dyDescent="0.25">
      <c r="B32" s="6"/>
      <c r="C32" s="6"/>
      <c r="D32" s="6"/>
      <c r="E32" s="7">
        <v>6714</v>
      </c>
      <c r="F32" s="21" t="s">
        <v>178</v>
      </c>
      <c r="G32" s="158">
        <v>57017.32</v>
      </c>
      <c r="H32" s="158">
        <v>54964.52</v>
      </c>
      <c r="I32" s="60">
        <v>47673.24</v>
      </c>
      <c r="J32" s="122">
        <v>47673.24</v>
      </c>
      <c r="K32" s="122">
        <v>0</v>
      </c>
      <c r="L32" s="122">
        <v>0</v>
      </c>
    </row>
    <row r="33" spans="2:12" x14ac:dyDescent="0.25">
      <c r="B33" s="6"/>
      <c r="C33" s="16">
        <v>68</v>
      </c>
      <c r="D33" s="6"/>
      <c r="E33" s="7"/>
      <c r="F33" s="21" t="s">
        <v>249</v>
      </c>
      <c r="G33" s="64">
        <f t="shared" ref="G33:J34" si="3">SUM(G34)</f>
        <v>0</v>
      </c>
      <c r="H33" s="64">
        <f t="shared" si="3"/>
        <v>0</v>
      </c>
      <c r="I33" s="64">
        <f t="shared" si="3"/>
        <v>0</v>
      </c>
      <c r="J33" s="64">
        <f t="shared" si="3"/>
        <v>331.8</v>
      </c>
      <c r="K33" s="122"/>
      <c r="L33" s="122"/>
    </row>
    <row r="34" spans="2:12" x14ac:dyDescent="0.25">
      <c r="B34" s="6"/>
      <c r="C34" s="6"/>
      <c r="D34" s="16">
        <v>683</v>
      </c>
      <c r="E34" s="7"/>
      <c r="F34" s="21" t="s">
        <v>250</v>
      </c>
      <c r="G34" s="64">
        <f t="shared" si="3"/>
        <v>0</v>
      </c>
      <c r="H34" s="64">
        <f t="shared" si="3"/>
        <v>0</v>
      </c>
      <c r="I34" s="64">
        <f t="shared" si="3"/>
        <v>0</v>
      </c>
      <c r="J34" s="64">
        <f t="shared" si="3"/>
        <v>331.8</v>
      </c>
      <c r="K34" s="122"/>
      <c r="L34" s="122"/>
    </row>
    <row r="35" spans="2:12" x14ac:dyDescent="0.25">
      <c r="B35" s="6"/>
      <c r="C35" s="6"/>
      <c r="D35" s="6"/>
      <c r="E35" s="7">
        <v>6831</v>
      </c>
      <c r="F35" s="21" t="s">
        <v>250</v>
      </c>
      <c r="G35" s="60">
        <v>0</v>
      </c>
      <c r="H35" s="60">
        <v>0</v>
      </c>
      <c r="I35" s="60">
        <v>0</v>
      </c>
      <c r="J35" s="122">
        <v>331.8</v>
      </c>
      <c r="K35" s="122"/>
      <c r="L35" s="122"/>
    </row>
    <row r="36" spans="2:12" x14ac:dyDescent="0.25">
      <c r="B36" s="16">
        <v>7</v>
      </c>
      <c r="C36" s="16"/>
      <c r="D36" s="107"/>
      <c r="E36" s="107"/>
      <c r="F36" s="5" t="s">
        <v>19</v>
      </c>
      <c r="G36" s="131">
        <f t="shared" ref="G36:J38" si="4">+G37</f>
        <v>0</v>
      </c>
      <c r="H36" s="131">
        <f t="shared" si="4"/>
        <v>0</v>
      </c>
      <c r="I36" s="131">
        <f t="shared" si="4"/>
        <v>0</v>
      </c>
      <c r="J36" s="131">
        <f t="shared" si="4"/>
        <v>0</v>
      </c>
      <c r="K36" s="122">
        <v>0</v>
      </c>
      <c r="L36" s="122">
        <v>0</v>
      </c>
    </row>
    <row r="37" spans="2:12" ht="30.75" customHeight="1" x14ac:dyDescent="0.25">
      <c r="B37" s="6"/>
      <c r="C37" s="16">
        <v>72</v>
      </c>
      <c r="D37" s="107"/>
      <c r="E37" s="107"/>
      <c r="F37" s="106" t="s">
        <v>20</v>
      </c>
      <c r="G37" s="64">
        <f t="shared" si="4"/>
        <v>0</v>
      </c>
      <c r="H37" s="64">
        <f t="shared" si="4"/>
        <v>0</v>
      </c>
      <c r="I37" s="64">
        <f t="shared" si="4"/>
        <v>0</v>
      </c>
      <c r="J37" s="64">
        <f t="shared" si="4"/>
        <v>0</v>
      </c>
      <c r="K37" s="122">
        <v>0</v>
      </c>
      <c r="L37" s="122">
        <v>0</v>
      </c>
    </row>
    <row r="38" spans="2:12" x14ac:dyDescent="0.25">
      <c r="B38" s="6"/>
      <c r="C38" s="16"/>
      <c r="D38" s="16">
        <v>721</v>
      </c>
      <c r="E38" s="16"/>
      <c r="F38" s="106" t="s">
        <v>29</v>
      </c>
      <c r="G38" s="64">
        <f t="shared" si="4"/>
        <v>0</v>
      </c>
      <c r="H38" s="64">
        <f t="shared" si="4"/>
        <v>0</v>
      </c>
      <c r="I38" s="64">
        <f t="shared" si="4"/>
        <v>0</v>
      </c>
      <c r="J38" s="64">
        <f t="shared" si="4"/>
        <v>0</v>
      </c>
      <c r="K38" s="122">
        <v>0</v>
      </c>
      <c r="L38" s="122">
        <v>0</v>
      </c>
    </row>
    <row r="39" spans="2:12" x14ac:dyDescent="0.25">
      <c r="B39" s="6"/>
      <c r="C39" s="6"/>
      <c r="D39" s="6"/>
      <c r="E39" s="6">
        <v>7211</v>
      </c>
      <c r="F39" s="21" t="s">
        <v>30</v>
      </c>
      <c r="G39" s="60">
        <v>0</v>
      </c>
      <c r="H39" s="60">
        <v>0</v>
      </c>
      <c r="I39" s="60">
        <v>0</v>
      </c>
      <c r="J39" s="60">
        <v>0</v>
      </c>
      <c r="K39" s="122">
        <v>0</v>
      </c>
      <c r="L39" s="122">
        <v>0</v>
      </c>
    </row>
    <row r="40" spans="2:12" x14ac:dyDescent="0.25">
      <c r="B40" s="16">
        <v>8</v>
      </c>
      <c r="C40" s="16"/>
      <c r="D40" s="16"/>
      <c r="E40" s="107"/>
      <c r="F40" s="106" t="s">
        <v>8</v>
      </c>
      <c r="G40" s="130">
        <f t="shared" ref="G40:J42" si="5">+G41</f>
        <v>8275</v>
      </c>
      <c r="H40" s="130">
        <f t="shared" si="5"/>
        <v>0</v>
      </c>
      <c r="I40" s="130">
        <f t="shared" si="5"/>
        <v>0</v>
      </c>
      <c r="J40" s="130">
        <f t="shared" si="5"/>
        <v>0</v>
      </c>
      <c r="K40" s="122">
        <v>0</v>
      </c>
      <c r="L40" s="122"/>
    </row>
    <row r="41" spans="2:12" x14ac:dyDescent="0.25">
      <c r="B41" s="6"/>
      <c r="C41" s="16">
        <v>84</v>
      </c>
      <c r="D41" s="16"/>
      <c r="E41" s="107"/>
      <c r="F41" s="106" t="s">
        <v>12</v>
      </c>
      <c r="G41" s="130">
        <f t="shared" si="5"/>
        <v>8275</v>
      </c>
      <c r="H41" s="130">
        <f t="shared" si="5"/>
        <v>0</v>
      </c>
      <c r="I41" s="130">
        <f t="shared" si="5"/>
        <v>0</v>
      </c>
      <c r="J41" s="130">
        <f t="shared" si="5"/>
        <v>0</v>
      </c>
      <c r="K41" s="122">
        <v>0</v>
      </c>
      <c r="L41" s="122"/>
    </row>
    <row r="42" spans="2:12" ht="25.5" x14ac:dyDescent="0.25">
      <c r="B42" s="6"/>
      <c r="C42" s="16"/>
      <c r="D42" s="16">
        <v>844</v>
      </c>
      <c r="E42" s="107"/>
      <c r="F42" s="106" t="s">
        <v>219</v>
      </c>
      <c r="G42" s="130">
        <f t="shared" si="5"/>
        <v>8275</v>
      </c>
      <c r="H42" s="130">
        <f t="shared" si="5"/>
        <v>0</v>
      </c>
      <c r="I42" s="130">
        <f t="shared" si="5"/>
        <v>0</v>
      </c>
      <c r="J42" s="130">
        <f t="shared" si="5"/>
        <v>0</v>
      </c>
      <c r="K42" s="122">
        <v>0</v>
      </c>
      <c r="L42" s="122"/>
    </row>
    <row r="43" spans="2:12" ht="25.5" x14ac:dyDescent="0.25">
      <c r="B43" s="6"/>
      <c r="C43" s="6"/>
      <c r="D43" s="6"/>
      <c r="E43" s="7">
        <v>8443</v>
      </c>
      <c r="F43" s="21" t="s">
        <v>220</v>
      </c>
      <c r="G43" s="129">
        <v>8275</v>
      </c>
      <c r="H43" s="129">
        <v>0</v>
      </c>
      <c r="I43" s="151">
        <v>0</v>
      </c>
      <c r="J43" s="122"/>
      <c r="K43" s="122">
        <v>0</v>
      </c>
      <c r="L43" s="122"/>
    </row>
    <row r="44" spans="2:12" x14ac:dyDescent="0.25">
      <c r="B44" s="8">
        <v>9</v>
      </c>
      <c r="C44" s="9"/>
      <c r="D44" s="9"/>
      <c r="E44" s="9"/>
      <c r="F44" s="14" t="s">
        <v>179</v>
      </c>
      <c r="G44" s="64">
        <f>+G45</f>
        <v>20583.5</v>
      </c>
      <c r="H44" s="64">
        <f>+H45</f>
        <v>25126.93</v>
      </c>
      <c r="I44" s="64">
        <f>+I45</f>
        <v>27314.35</v>
      </c>
      <c r="J44" s="64">
        <f>+J45</f>
        <v>138807.70000000001</v>
      </c>
      <c r="K44" s="124">
        <f>(J44/G44)*100</f>
        <v>674.36393227585211</v>
      </c>
      <c r="L44" s="124">
        <f t="shared" ref="L44:L45" si="6">(J44/I44)*100</f>
        <v>508.18599014803584</v>
      </c>
    </row>
    <row r="45" spans="2:12" x14ac:dyDescent="0.25">
      <c r="B45" s="8"/>
      <c r="C45" s="9">
        <v>92</v>
      </c>
      <c r="D45" s="9"/>
      <c r="E45" s="9"/>
      <c r="F45" s="14" t="s">
        <v>214</v>
      </c>
      <c r="G45" s="64">
        <f>G46+G47</f>
        <v>20583.5</v>
      </c>
      <c r="H45" s="64">
        <f>H46+H47</f>
        <v>25126.93</v>
      </c>
      <c r="I45" s="64">
        <f>I46+I47</f>
        <v>27314.35</v>
      </c>
      <c r="J45" s="64">
        <f>J46+J47</f>
        <v>138807.70000000001</v>
      </c>
      <c r="K45" s="122">
        <f>(J45/G45)*100</f>
        <v>674.36393227585211</v>
      </c>
      <c r="L45" s="122">
        <f t="shared" si="6"/>
        <v>508.18599014803584</v>
      </c>
    </row>
    <row r="46" spans="2:12" x14ac:dyDescent="0.25">
      <c r="B46" s="8"/>
      <c r="C46" s="9"/>
      <c r="D46" s="110">
        <v>922</v>
      </c>
      <c r="E46" s="9"/>
      <c r="F46" s="15" t="s">
        <v>251</v>
      </c>
      <c r="G46" s="60">
        <v>20583.5</v>
      </c>
      <c r="H46" s="60">
        <v>0</v>
      </c>
      <c r="I46" s="60">
        <v>0</v>
      </c>
      <c r="J46" s="60">
        <v>138807.70000000001</v>
      </c>
      <c r="K46" s="125"/>
      <c r="L46" s="125"/>
    </row>
    <row r="47" spans="2:12" x14ac:dyDescent="0.25">
      <c r="B47" s="10"/>
      <c r="C47" s="10"/>
      <c r="D47" s="10">
        <v>922</v>
      </c>
      <c r="E47" s="21"/>
      <c r="F47" s="21" t="s">
        <v>252</v>
      </c>
      <c r="G47" s="60"/>
      <c r="H47" s="60">
        <v>25126.93</v>
      </c>
      <c r="I47" s="159">
        <v>27314.35</v>
      </c>
      <c r="J47" s="122">
        <v>0</v>
      </c>
      <c r="K47" s="122"/>
      <c r="L47" s="122">
        <f>(J47/I47)*100</f>
        <v>0</v>
      </c>
    </row>
    <row r="48" spans="2:12" x14ac:dyDescent="0.25">
      <c r="B48" s="127"/>
      <c r="C48" s="127"/>
      <c r="D48" s="127"/>
      <c r="E48" s="127"/>
      <c r="F48" s="128"/>
      <c r="G48" s="147"/>
      <c r="H48" s="147"/>
      <c r="I48" s="147"/>
      <c r="J48" s="147"/>
      <c r="K48" s="148"/>
      <c r="L48" s="148"/>
    </row>
    <row r="49" spans="2:12" x14ac:dyDescent="0.25">
      <c r="B49" s="127"/>
      <c r="C49" s="127"/>
      <c r="D49" s="127"/>
      <c r="E49" s="127"/>
      <c r="F49" s="128"/>
      <c r="G49" s="147"/>
      <c r="H49" s="147"/>
      <c r="I49" s="147"/>
      <c r="J49" s="148"/>
      <c r="K49" s="148"/>
      <c r="L49" s="148"/>
    </row>
    <row r="50" spans="2:12" ht="36.75" customHeight="1" x14ac:dyDescent="0.25">
      <c r="B50" s="243" t="s">
        <v>7</v>
      </c>
      <c r="C50" s="244"/>
      <c r="D50" s="244"/>
      <c r="E50" s="244"/>
      <c r="F50" s="245"/>
      <c r="G50" s="57" t="s">
        <v>224</v>
      </c>
      <c r="H50" s="57" t="s">
        <v>247</v>
      </c>
      <c r="I50" s="57" t="s">
        <v>256</v>
      </c>
      <c r="J50" s="57" t="s">
        <v>253</v>
      </c>
      <c r="K50" s="57" t="s">
        <v>21</v>
      </c>
      <c r="L50" s="57" t="s">
        <v>43</v>
      </c>
    </row>
    <row r="51" spans="2:12" x14ac:dyDescent="0.25">
      <c r="B51" s="246">
        <v>1</v>
      </c>
      <c r="C51" s="247"/>
      <c r="D51" s="247"/>
      <c r="E51" s="247"/>
      <c r="F51" s="248"/>
      <c r="G51" s="34">
        <v>2</v>
      </c>
      <c r="H51" s="34">
        <v>3</v>
      </c>
      <c r="I51" s="34">
        <v>4</v>
      </c>
      <c r="J51" s="34">
        <v>5</v>
      </c>
      <c r="K51" s="58" t="s">
        <v>34</v>
      </c>
      <c r="L51" s="58" t="s">
        <v>35</v>
      </c>
    </row>
    <row r="52" spans="2:12" x14ac:dyDescent="0.25">
      <c r="B52" s="5"/>
      <c r="C52" s="5"/>
      <c r="D52" s="5"/>
      <c r="E52" s="5"/>
      <c r="F52" s="5" t="s">
        <v>41</v>
      </c>
      <c r="G52" s="157">
        <v>1700806.02</v>
      </c>
      <c r="H52" s="157">
        <f>+H53+H108+H121</f>
        <v>1425526.1400000001</v>
      </c>
      <c r="I52" s="204">
        <v>2146647.13</v>
      </c>
      <c r="J52" s="203">
        <f>+J53+J108+J121</f>
        <v>2310822.41</v>
      </c>
      <c r="K52" s="132">
        <f>(J52/G52)*100</f>
        <v>135.86631178551448</v>
      </c>
      <c r="L52" s="132">
        <f t="shared" ref="L52:L56" si="7">(J52/I52)*100</f>
        <v>107.64798637398781</v>
      </c>
    </row>
    <row r="53" spans="2:12" x14ac:dyDescent="0.25">
      <c r="B53" s="8">
        <v>3</v>
      </c>
      <c r="C53" s="9"/>
      <c r="D53" s="9"/>
      <c r="E53" s="9"/>
      <c r="F53" s="14" t="s">
        <v>4</v>
      </c>
      <c r="G53" s="64">
        <f>+G54+G64+G96+G102+G105</f>
        <v>1432283.3199999998</v>
      </c>
      <c r="H53" s="64">
        <f>+H54+H64+H96+H102+H105</f>
        <v>1413729.8</v>
      </c>
      <c r="I53" s="205">
        <f>+I54+I64+I96+I102+I105</f>
        <v>1656583.02</v>
      </c>
      <c r="J53" s="64">
        <v>1849102.51</v>
      </c>
      <c r="K53" s="132">
        <f>(J53/G53)*100</f>
        <v>129.10172758278023</v>
      </c>
      <c r="L53" s="132">
        <f t="shared" si="7"/>
        <v>111.62148154820517</v>
      </c>
    </row>
    <row r="54" spans="2:12" x14ac:dyDescent="0.25">
      <c r="B54" s="5"/>
      <c r="C54" s="5">
        <v>31</v>
      </c>
      <c r="D54" s="5"/>
      <c r="E54" s="5"/>
      <c r="F54" s="5" t="s">
        <v>5</v>
      </c>
      <c r="G54" s="64">
        <f>+G55+G59+G61</f>
        <v>1242288.55</v>
      </c>
      <c r="H54" s="64">
        <f>+H55+H59+H61</f>
        <v>1265152.79</v>
      </c>
      <c r="I54" s="205">
        <f>+I55+I59+I61</f>
        <v>1283485.1299999999</v>
      </c>
      <c r="J54" s="64">
        <v>1451849.06</v>
      </c>
      <c r="K54" s="132">
        <f>(J54/G54)*100</f>
        <v>116.8689077911891</v>
      </c>
      <c r="L54" s="132">
        <f t="shared" si="7"/>
        <v>113.11771566843163</v>
      </c>
    </row>
    <row r="55" spans="2:12" x14ac:dyDescent="0.25">
      <c r="B55" s="5"/>
      <c r="C55" s="10"/>
      <c r="D55" s="109">
        <v>311</v>
      </c>
      <c r="E55" s="109"/>
      <c r="F55" s="109" t="s">
        <v>180</v>
      </c>
      <c r="G55" s="64">
        <f>+G56+G57+G58</f>
        <v>1020426.98</v>
      </c>
      <c r="H55" s="64">
        <f>+H56+H57+H58</f>
        <v>1023044.09</v>
      </c>
      <c r="I55" s="205">
        <f>+I56+I57+I58</f>
        <v>1038149.09</v>
      </c>
      <c r="J55" s="64">
        <v>1199159.43</v>
      </c>
      <c r="K55" s="132">
        <f>(J55/G55)*100</f>
        <v>117.51545710796474</v>
      </c>
      <c r="L55" s="132">
        <f t="shared" si="7"/>
        <v>115.50936580794962</v>
      </c>
    </row>
    <row r="56" spans="2:12" x14ac:dyDescent="0.25">
      <c r="B56" s="6"/>
      <c r="C56" s="6"/>
      <c r="D56" s="6"/>
      <c r="E56" s="6">
        <v>3111</v>
      </c>
      <c r="F56" s="21" t="s">
        <v>31</v>
      </c>
      <c r="G56" s="60">
        <v>1020426.98</v>
      </c>
      <c r="H56" s="60">
        <v>1023044.09</v>
      </c>
      <c r="I56" s="206">
        <v>1038149.09</v>
      </c>
      <c r="J56" s="122">
        <v>1195381.24</v>
      </c>
      <c r="K56" s="153">
        <f>(J56/G56)*100</f>
        <v>117.14520131562966</v>
      </c>
      <c r="L56" s="153">
        <f t="shared" si="7"/>
        <v>115.14543060476987</v>
      </c>
    </row>
    <row r="57" spans="2:12" x14ac:dyDescent="0.25">
      <c r="B57" s="6"/>
      <c r="C57" s="6"/>
      <c r="D57" s="6"/>
      <c r="E57" s="6">
        <v>3113</v>
      </c>
      <c r="F57" s="21" t="s">
        <v>124</v>
      </c>
      <c r="G57" s="60">
        <v>0</v>
      </c>
      <c r="H57" s="60">
        <v>0</v>
      </c>
      <c r="I57" s="206">
        <v>0</v>
      </c>
      <c r="J57" s="122">
        <v>3778.19</v>
      </c>
      <c r="K57" s="132">
        <v>0</v>
      </c>
      <c r="L57" s="153">
        <v>0</v>
      </c>
    </row>
    <row r="58" spans="2:12" x14ac:dyDescent="0.25">
      <c r="B58" s="6"/>
      <c r="C58" s="6"/>
      <c r="D58" s="6"/>
      <c r="E58" s="7">
        <v>3114</v>
      </c>
      <c r="F58" s="21" t="s">
        <v>181</v>
      </c>
      <c r="G58" s="60"/>
      <c r="H58" s="60">
        <v>0</v>
      </c>
      <c r="I58" s="206">
        <v>0</v>
      </c>
      <c r="J58" s="122">
        <v>0</v>
      </c>
      <c r="K58" s="153">
        <v>0</v>
      </c>
      <c r="L58" s="153">
        <v>0</v>
      </c>
    </row>
    <row r="59" spans="2:12" x14ac:dyDescent="0.25">
      <c r="B59" s="8"/>
      <c r="C59" s="9"/>
      <c r="D59" s="9">
        <v>312</v>
      </c>
      <c r="E59" s="9"/>
      <c r="F59" s="14" t="s">
        <v>107</v>
      </c>
      <c r="G59" s="64">
        <f>+G60</f>
        <v>53262.58</v>
      </c>
      <c r="H59" s="64">
        <f>+H60</f>
        <v>47078.16</v>
      </c>
      <c r="I59" s="205">
        <f>+I60</f>
        <v>47978.16</v>
      </c>
      <c r="J59" s="64">
        <f>+J60</f>
        <v>54036.72</v>
      </c>
      <c r="K59" s="132">
        <f t="shared" ref="K59:K86" si="8">(J59/G59)*100</f>
        <v>101.4534406707298</v>
      </c>
      <c r="L59" s="153">
        <f>(J59/I59)*100</f>
        <v>112.62774562425903</v>
      </c>
    </row>
    <row r="60" spans="2:12" x14ac:dyDescent="0.25">
      <c r="B60" s="10"/>
      <c r="C60" s="10"/>
      <c r="D60" s="10"/>
      <c r="E60" s="10">
        <v>3121</v>
      </c>
      <c r="F60" s="15" t="s">
        <v>107</v>
      </c>
      <c r="G60" s="60">
        <v>53262.58</v>
      </c>
      <c r="H60" s="60">
        <v>47078.16</v>
      </c>
      <c r="I60" s="207">
        <v>47978.16</v>
      </c>
      <c r="J60" s="122">
        <v>54036.72</v>
      </c>
      <c r="K60" s="153">
        <f t="shared" si="8"/>
        <v>101.4534406707298</v>
      </c>
      <c r="L60" s="153">
        <f>(J60/I60)*100</f>
        <v>112.62774562425903</v>
      </c>
    </row>
    <row r="61" spans="2:12" x14ac:dyDescent="0.25">
      <c r="B61" s="10"/>
      <c r="C61" s="10"/>
      <c r="D61" s="5">
        <v>313</v>
      </c>
      <c r="E61" s="106"/>
      <c r="F61" s="106" t="s">
        <v>182</v>
      </c>
      <c r="G61" s="64">
        <f>+G62+G63</f>
        <v>168598.99</v>
      </c>
      <c r="H61" s="64">
        <f>+H62+H63</f>
        <v>195030.54</v>
      </c>
      <c r="I61" s="205">
        <f>+I62+I63</f>
        <v>197357.88</v>
      </c>
      <c r="J61" s="64">
        <f>+J62+J63</f>
        <v>198652.91</v>
      </c>
      <c r="K61" s="132">
        <f t="shared" si="8"/>
        <v>117.82568211114433</v>
      </c>
      <c r="L61" s="153">
        <f>(J61/I61)*100</f>
        <v>100.65618357878591</v>
      </c>
    </row>
    <row r="62" spans="2:12" s="108" customFormat="1" x14ac:dyDescent="0.25">
      <c r="B62" s="10"/>
      <c r="C62" s="10"/>
      <c r="D62" s="10"/>
      <c r="E62" s="21">
        <v>3132</v>
      </c>
      <c r="F62" s="21" t="s">
        <v>183</v>
      </c>
      <c r="G62" s="60">
        <v>168598.99</v>
      </c>
      <c r="H62" s="60">
        <f>194865.54+165</f>
        <v>195030.54</v>
      </c>
      <c r="I62" s="207">
        <v>197357.88</v>
      </c>
      <c r="J62" s="125">
        <v>198652.91</v>
      </c>
      <c r="K62" s="153">
        <f t="shared" si="8"/>
        <v>117.82568211114433</v>
      </c>
      <c r="L62" s="153">
        <f>(J62/I62)*100</f>
        <v>100.65618357878591</v>
      </c>
    </row>
    <row r="63" spans="2:12" s="108" customFormat="1" ht="25.5" x14ac:dyDescent="0.25">
      <c r="B63" s="10"/>
      <c r="C63" s="10"/>
      <c r="D63" s="10"/>
      <c r="E63" s="21">
        <v>3133</v>
      </c>
      <c r="F63" s="21" t="s">
        <v>184</v>
      </c>
      <c r="G63" s="60"/>
      <c r="H63" s="60">
        <v>0</v>
      </c>
      <c r="I63" s="207">
        <v>0</v>
      </c>
      <c r="J63" s="125">
        <v>0</v>
      </c>
      <c r="K63" s="153">
        <v>0</v>
      </c>
      <c r="L63" s="153">
        <v>0</v>
      </c>
    </row>
    <row r="64" spans="2:12" s="108" customFormat="1" x14ac:dyDescent="0.25">
      <c r="B64" s="10"/>
      <c r="C64" s="5">
        <v>32</v>
      </c>
      <c r="D64" s="5"/>
      <c r="E64" s="106"/>
      <c r="F64" s="106" t="s">
        <v>11</v>
      </c>
      <c r="G64" s="64">
        <f>+G65+G70+G77+G87+G89</f>
        <v>177308.37</v>
      </c>
      <c r="H64" s="64">
        <f>+H65+H70+H77+H87+H89</f>
        <v>138521.23000000001</v>
      </c>
      <c r="I64" s="205">
        <f>+I65+I70+I77+I87+I89</f>
        <v>358715.04000000004</v>
      </c>
      <c r="J64" s="64">
        <v>382735.41</v>
      </c>
      <c r="K64" s="132">
        <f t="shared" si="8"/>
        <v>215.85862528655585</v>
      </c>
      <c r="L64" s="132">
        <f t="shared" ref="L64:L95" si="9">(J64/I64)*100</f>
        <v>106.6962260628938</v>
      </c>
    </row>
    <row r="65" spans="2:12" x14ac:dyDescent="0.25">
      <c r="B65" s="10"/>
      <c r="C65" s="10"/>
      <c r="D65" s="5">
        <v>321</v>
      </c>
      <c r="E65" s="106"/>
      <c r="F65" s="106" t="s">
        <v>32</v>
      </c>
      <c r="G65" s="64">
        <f>+G66+G67+G68+G69</f>
        <v>48356.63</v>
      </c>
      <c r="H65" s="64">
        <f>+H66+H67+H68+H69</f>
        <v>45271.41</v>
      </c>
      <c r="I65" s="205">
        <f>+I66+I67+I68+I69</f>
        <v>52533.82</v>
      </c>
      <c r="J65" s="64">
        <f>+J66+J67+J68+J69</f>
        <v>58195.670000000006</v>
      </c>
      <c r="K65" s="132">
        <f t="shared" si="8"/>
        <v>120.34682731199426</v>
      </c>
      <c r="L65" s="132">
        <f t="shared" si="9"/>
        <v>110.77753340609917</v>
      </c>
    </row>
    <row r="66" spans="2:12" x14ac:dyDescent="0.25">
      <c r="B66" s="10"/>
      <c r="C66" s="10"/>
      <c r="D66" s="10"/>
      <c r="E66" s="21">
        <v>3211</v>
      </c>
      <c r="F66" s="21" t="s">
        <v>33</v>
      </c>
      <c r="G66" s="60">
        <v>8500.35</v>
      </c>
      <c r="H66" s="60">
        <f>5000+2000</f>
        <v>7000</v>
      </c>
      <c r="I66" s="208">
        <v>13327.15</v>
      </c>
      <c r="J66" s="160">
        <v>16260.12</v>
      </c>
      <c r="K66" s="153">
        <f t="shared" si="8"/>
        <v>191.28765286135277</v>
      </c>
      <c r="L66" s="153">
        <f t="shared" si="9"/>
        <v>122.00748096929952</v>
      </c>
    </row>
    <row r="67" spans="2:12" ht="25.5" x14ac:dyDescent="0.25">
      <c r="B67" s="10"/>
      <c r="C67" s="10"/>
      <c r="D67" s="10"/>
      <c r="E67" s="21">
        <v>3212</v>
      </c>
      <c r="F67" s="21" t="s">
        <v>185</v>
      </c>
      <c r="G67" s="60">
        <v>36950.980000000003</v>
      </c>
      <c r="H67" s="60">
        <v>35971.410000000003</v>
      </c>
      <c r="I67" s="208">
        <v>37514.17</v>
      </c>
      <c r="J67" s="160">
        <v>40861.050000000003</v>
      </c>
      <c r="K67" s="153">
        <f t="shared" si="8"/>
        <v>110.5817761802258</v>
      </c>
      <c r="L67" s="153">
        <f t="shared" si="9"/>
        <v>108.92164214215589</v>
      </c>
    </row>
    <row r="68" spans="2:12" x14ac:dyDescent="0.25">
      <c r="B68" s="10"/>
      <c r="C68" s="10"/>
      <c r="D68" s="10"/>
      <c r="E68" s="21">
        <v>3213</v>
      </c>
      <c r="F68" s="21" t="s">
        <v>76</v>
      </c>
      <c r="G68" s="60">
        <v>2073.63</v>
      </c>
      <c r="H68" s="60">
        <f>800+800</f>
        <v>1600</v>
      </c>
      <c r="I68" s="207">
        <v>1010</v>
      </c>
      <c r="J68" s="125">
        <v>390</v>
      </c>
      <c r="K68" s="153">
        <f t="shared" si="8"/>
        <v>18.807598269700961</v>
      </c>
      <c r="L68" s="153">
        <f t="shared" si="9"/>
        <v>38.613861386138616</v>
      </c>
    </row>
    <row r="69" spans="2:12" x14ac:dyDescent="0.25">
      <c r="B69" s="10"/>
      <c r="C69" s="10"/>
      <c r="D69" s="10"/>
      <c r="E69" s="21">
        <v>3214</v>
      </c>
      <c r="F69" s="21" t="s">
        <v>77</v>
      </c>
      <c r="G69" s="60">
        <v>831.67</v>
      </c>
      <c r="H69" s="60">
        <f>700</f>
        <v>700</v>
      </c>
      <c r="I69" s="207">
        <v>682.5</v>
      </c>
      <c r="J69" s="125">
        <v>684.5</v>
      </c>
      <c r="K69" s="153">
        <f t="shared" si="8"/>
        <v>82.304279341565774</v>
      </c>
      <c r="L69" s="153">
        <f t="shared" si="9"/>
        <v>100.29304029304029</v>
      </c>
    </row>
    <row r="70" spans="2:12" x14ac:dyDescent="0.25">
      <c r="B70" s="10"/>
      <c r="C70" s="10"/>
      <c r="D70" s="5">
        <v>322</v>
      </c>
      <c r="E70" s="106"/>
      <c r="F70" s="106" t="s">
        <v>186</v>
      </c>
      <c r="G70" s="64">
        <f>+G71+G72+G73+G74+G75+G76</f>
        <v>40649.519999999997</v>
      </c>
      <c r="H70" s="64">
        <f>+H71+H72+H73+H74+H75+H76</f>
        <v>37406.36</v>
      </c>
      <c r="I70" s="205">
        <f>+I71+I72+I73+I74+I75+I76</f>
        <v>46754.010000000009</v>
      </c>
      <c r="J70" s="64">
        <f>+J71+J72+J73+J74+J75+J76</f>
        <v>51700.94</v>
      </c>
      <c r="K70" s="132">
        <f t="shared" si="8"/>
        <v>127.1870860959736</v>
      </c>
      <c r="L70" s="132">
        <f t="shared" si="9"/>
        <v>110.58076088018973</v>
      </c>
    </row>
    <row r="71" spans="2:12" x14ac:dyDescent="0.25">
      <c r="B71" s="10"/>
      <c r="C71" s="10"/>
      <c r="D71" s="10"/>
      <c r="E71" s="21">
        <v>3221</v>
      </c>
      <c r="F71" s="21" t="s">
        <v>125</v>
      </c>
      <c r="G71" s="60">
        <v>7627.31</v>
      </c>
      <c r="H71" s="60">
        <f>5000+600+66.36+50</f>
        <v>5716.36</v>
      </c>
      <c r="I71" s="207">
        <v>11643.1</v>
      </c>
      <c r="J71" s="125">
        <v>12024.71</v>
      </c>
      <c r="K71" s="153">
        <f t="shared" si="8"/>
        <v>157.65335354141891</v>
      </c>
      <c r="L71" s="153">
        <f t="shared" si="9"/>
        <v>103.27756353548452</v>
      </c>
    </row>
    <row r="72" spans="2:12" x14ac:dyDescent="0.25">
      <c r="B72" s="10"/>
      <c r="C72" s="10"/>
      <c r="D72" s="10"/>
      <c r="E72" s="21">
        <v>3222</v>
      </c>
      <c r="F72" s="21" t="s">
        <v>126</v>
      </c>
      <c r="G72" s="60">
        <v>7054.2</v>
      </c>
      <c r="H72" s="60">
        <f>5000+300</f>
        <v>5300</v>
      </c>
      <c r="I72" s="207">
        <v>7340.85</v>
      </c>
      <c r="J72" s="125">
        <v>8985.7199999999993</v>
      </c>
      <c r="K72" s="153">
        <f t="shared" si="8"/>
        <v>127.38113464319127</v>
      </c>
      <c r="L72" s="153">
        <f t="shared" si="9"/>
        <v>122.40707819939107</v>
      </c>
    </row>
    <row r="73" spans="2:12" x14ac:dyDescent="0.25">
      <c r="B73" s="10"/>
      <c r="C73" s="10"/>
      <c r="D73" s="10"/>
      <c r="E73" s="21">
        <v>3223</v>
      </c>
      <c r="F73" s="21" t="s">
        <v>80</v>
      </c>
      <c r="G73" s="60">
        <v>20991.439999999999</v>
      </c>
      <c r="H73" s="60">
        <f>9000+13000+40</f>
        <v>22040</v>
      </c>
      <c r="I73" s="207">
        <v>22878.9</v>
      </c>
      <c r="J73" s="125">
        <v>25568.99</v>
      </c>
      <c r="K73" s="153">
        <f t="shared" si="8"/>
        <v>121.80674598788841</v>
      </c>
      <c r="L73" s="153">
        <f t="shared" si="9"/>
        <v>111.75795164977337</v>
      </c>
    </row>
    <row r="74" spans="2:12" ht="25.5" x14ac:dyDescent="0.25">
      <c r="B74" s="10"/>
      <c r="C74" s="10"/>
      <c r="D74" s="10"/>
      <c r="E74" s="21">
        <v>3224</v>
      </c>
      <c r="F74" s="21" t="s">
        <v>187</v>
      </c>
      <c r="G74" s="60">
        <v>3404.96</v>
      </c>
      <c r="H74" s="60">
        <f>2250+1000</f>
        <v>3250</v>
      </c>
      <c r="I74" s="207">
        <v>3933.3</v>
      </c>
      <c r="J74" s="125">
        <v>4363.66</v>
      </c>
      <c r="K74" s="153">
        <f t="shared" si="8"/>
        <v>128.15598421126825</v>
      </c>
      <c r="L74" s="153">
        <f t="shared" si="9"/>
        <v>110.94144865634455</v>
      </c>
    </row>
    <row r="75" spans="2:12" x14ac:dyDescent="0.25">
      <c r="B75" s="10"/>
      <c r="C75" s="10"/>
      <c r="D75" s="10"/>
      <c r="E75" s="21">
        <v>3225</v>
      </c>
      <c r="F75" s="21" t="s">
        <v>82</v>
      </c>
      <c r="G75" s="60">
        <v>922.46</v>
      </c>
      <c r="H75" s="60">
        <f>300+200</f>
        <v>500</v>
      </c>
      <c r="I75" s="207">
        <v>371</v>
      </c>
      <c r="J75" s="125">
        <v>171</v>
      </c>
      <c r="K75" s="153">
        <f t="shared" si="8"/>
        <v>18.537389155085314</v>
      </c>
      <c r="L75" s="153">
        <f t="shared" si="9"/>
        <v>46.091644204851754</v>
      </c>
    </row>
    <row r="76" spans="2:12" x14ac:dyDescent="0.25">
      <c r="B76" s="11"/>
      <c r="C76" s="9"/>
      <c r="D76" s="110"/>
      <c r="E76" s="110">
        <v>3227</v>
      </c>
      <c r="F76" s="15" t="s">
        <v>83</v>
      </c>
      <c r="G76" s="60">
        <v>649.15</v>
      </c>
      <c r="H76" s="60">
        <f>600</f>
        <v>600</v>
      </c>
      <c r="I76" s="206">
        <v>586.86</v>
      </c>
      <c r="J76" s="125">
        <v>586.86</v>
      </c>
      <c r="K76" s="153">
        <f t="shared" si="8"/>
        <v>90.404374951860135</v>
      </c>
      <c r="L76" s="153">
        <f t="shared" si="9"/>
        <v>100</v>
      </c>
    </row>
    <row r="77" spans="2:12" x14ac:dyDescent="0.25">
      <c r="B77" s="10"/>
      <c r="C77" s="10"/>
      <c r="D77" s="5">
        <v>323</v>
      </c>
      <c r="E77" s="106"/>
      <c r="F77" s="106" t="s">
        <v>188</v>
      </c>
      <c r="G77" s="64">
        <f>+G78+G79+G80+G81+G82+G83+G84+G85+G86</f>
        <v>73056.459999999992</v>
      </c>
      <c r="H77" s="64">
        <f>+H78+H79+H80+H81+H82+H83+H84+H85+H86</f>
        <v>37306.46</v>
      </c>
      <c r="I77" s="205">
        <f>+I78+I79+I80+I81+I82+I83+I84+I85+I86</f>
        <v>81217.75</v>
      </c>
      <c r="J77" s="64">
        <v>98969.08</v>
      </c>
      <c r="K77" s="132">
        <f t="shared" si="8"/>
        <v>135.46930688949342</v>
      </c>
      <c r="L77" s="132">
        <f t="shared" si="9"/>
        <v>121.85646610500784</v>
      </c>
    </row>
    <row r="78" spans="2:12" x14ac:dyDescent="0.25">
      <c r="B78" s="11"/>
      <c r="C78" s="9"/>
      <c r="D78" s="110"/>
      <c r="E78" s="110">
        <v>3231</v>
      </c>
      <c r="F78" s="15" t="s">
        <v>189</v>
      </c>
      <c r="G78" s="60">
        <v>890.72</v>
      </c>
      <c r="H78" s="60">
        <f>1300</f>
        <v>1300</v>
      </c>
      <c r="I78" s="206">
        <v>866.08</v>
      </c>
      <c r="J78" s="125">
        <v>942.36</v>
      </c>
      <c r="K78" s="132">
        <f t="shared" si="8"/>
        <v>105.79755703251301</v>
      </c>
      <c r="L78" s="153">
        <f t="shared" si="9"/>
        <v>108.80750046185111</v>
      </c>
    </row>
    <row r="79" spans="2:12" x14ac:dyDescent="0.25">
      <c r="B79" s="10"/>
      <c r="C79" s="10"/>
      <c r="D79" s="10"/>
      <c r="E79" s="21">
        <v>3232</v>
      </c>
      <c r="F79" s="21" t="s">
        <v>190</v>
      </c>
      <c r="G79" s="60">
        <v>11044.58</v>
      </c>
      <c r="H79" s="60">
        <f>3000+2000+1500</f>
        <v>6500</v>
      </c>
      <c r="I79" s="207">
        <v>34338.959999999999</v>
      </c>
      <c r="J79" s="125">
        <v>38757.19</v>
      </c>
      <c r="K79" s="132">
        <f t="shared" si="8"/>
        <v>350.91592437195442</v>
      </c>
      <c r="L79" s="153">
        <f t="shared" si="9"/>
        <v>112.8665224572905</v>
      </c>
    </row>
    <row r="80" spans="2:12" x14ac:dyDescent="0.25">
      <c r="B80" s="11"/>
      <c r="C80" s="9"/>
      <c r="D80" s="110"/>
      <c r="E80" s="110">
        <v>3233</v>
      </c>
      <c r="F80" s="15" t="s">
        <v>86</v>
      </c>
      <c r="G80" s="60">
        <v>1613.85</v>
      </c>
      <c r="H80" s="60">
        <v>20</v>
      </c>
      <c r="I80" s="206">
        <v>20</v>
      </c>
      <c r="J80" s="125">
        <v>0</v>
      </c>
      <c r="K80" s="132">
        <f t="shared" si="8"/>
        <v>0</v>
      </c>
      <c r="L80" s="153">
        <f t="shared" si="9"/>
        <v>0</v>
      </c>
    </row>
    <row r="81" spans="2:12" x14ac:dyDescent="0.25">
      <c r="B81" s="10"/>
      <c r="C81" s="10"/>
      <c r="D81" s="10"/>
      <c r="E81" s="21">
        <v>3234</v>
      </c>
      <c r="F81" s="21" t="s">
        <v>87</v>
      </c>
      <c r="G81" s="60">
        <v>35658.39</v>
      </c>
      <c r="H81" s="60">
        <f>7490.12+0</f>
        <v>7490.12</v>
      </c>
      <c r="I81" s="207">
        <v>22851.51</v>
      </c>
      <c r="J81" s="125">
        <v>36651.01</v>
      </c>
      <c r="K81" s="132">
        <f t="shared" si="8"/>
        <v>102.7836927017737</v>
      </c>
      <c r="L81" s="153">
        <f t="shared" si="9"/>
        <v>160.38769429241219</v>
      </c>
    </row>
    <row r="82" spans="2:12" x14ac:dyDescent="0.25">
      <c r="B82" s="11"/>
      <c r="C82" s="9"/>
      <c r="D82" s="110"/>
      <c r="E82" s="110">
        <v>3235</v>
      </c>
      <c r="F82" s="15" t="s">
        <v>88</v>
      </c>
      <c r="G82" s="60">
        <v>6113.46</v>
      </c>
      <c r="H82" s="60">
        <f>1400+2000+2000+1000</f>
        <v>6400</v>
      </c>
      <c r="I82" s="206">
        <v>6847.51</v>
      </c>
      <c r="J82" s="125">
        <v>9145.73</v>
      </c>
      <c r="K82" s="132">
        <f t="shared" si="8"/>
        <v>149.59989923872897</v>
      </c>
      <c r="L82" s="153">
        <f t="shared" si="9"/>
        <v>133.56285715537473</v>
      </c>
    </row>
    <row r="83" spans="2:12" x14ac:dyDescent="0.25">
      <c r="B83" s="10"/>
      <c r="C83" s="10"/>
      <c r="D83" s="10"/>
      <c r="E83" s="21">
        <v>3236</v>
      </c>
      <c r="F83" s="21" t="s">
        <v>89</v>
      </c>
      <c r="G83" s="60">
        <v>3503.94</v>
      </c>
      <c r="H83" s="60">
        <f>4000</f>
        <v>4000</v>
      </c>
      <c r="I83" s="207">
        <v>3270</v>
      </c>
      <c r="J83" s="125">
        <v>3270</v>
      </c>
      <c r="K83" s="132">
        <f t="shared" si="8"/>
        <v>93.32351581362694</v>
      </c>
      <c r="L83" s="153">
        <f t="shared" si="9"/>
        <v>100</v>
      </c>
    </row>
    <row r="84" spans="2:12" x14ac:dyDescent="0.25">
      <c r="B84" s="11"/>
      <c r="C84" s="9"/>
      <c r="D84" s="110"/>
      <c r="E84" s="110">
        <v>3237</v>
      </c>
      <c r="F84" s="15" t="s">
        <v>90</v>
      </c>
      <c r="G84" s="60">
        <v>7624.47</v>
      </c>
      <c r="H84" s="60">
        <f>1300+2000+1000+300+800+796.34</f>
        <v>6196.34</v>
      </c>
      <c r="I84" s="206">
        <v>7432.31</v>
      </c>
      <c r="J84" s="125">
        <v>5186.3</v>
      </c>
      <c r="K84" s="132">
        <f t="shared" si="8"/>
        <v>68.021777251402398</v>
      </c>
      <c r="L84" s="153">
        <f t="shared" si="9"/>
        <v>69.780458565372001</v>
      </c>
    </row>
    <row r="85" spans="2:12" x14ac:dyDescent="0.25">
      <c r="B85" s="10"/>
      <c r="C85" s="10"/>
      <c r="D85" s="10"/>
      <c r="E85" s="21">
        <v>3238</v>
      </c>
      <c r="F85" s="21" t="s">
        <v>91</v>
      </c>
      <c r="G85" s="60">
        <v>4015.04</v>
      </c>
      <c r="H85" s="60">
        <f>3000+600</f>
        <v>3600</v>
      </c>
      <c r="I85" s="207">
        <v>5015.17</v>
      </c>
      <c r="J85" s="125">
        <v>4574.8500000000004</v>
      </c>
      <c r="K85" s="132">
        <f t="shared" si="8"/>
        <v>113.94282497808241</v>
      </c>
      <c r="L85" s="153">
        <f t="shared" si="9"/>
        <v>91.220237798519292</v>
      </c>
    </row>
    <row r="86" spans="2:12" x14ac:dyDescent="0.25">
      <c r="B86" s="11"/>
      <c r="C86" s="9"/>
      <c r="D86" s="110"/>
      <c r="E86" s="110">
        <v>3239</v>
      </c>
      <c r="F86" s="152" t="s">
        <v>92</v>
      </c>
      <c r="G86" s="60">
        <v>2592.0100000000002</v>
      </c>
      <c r="H86" s="60">
        <f>1500+100+200</f>
        <v>1800</v>
      </c>
      <c r="I86" s="206">
        <v>576.21</v>
      </c>
      <c r="J86" s="125">
        <v>441.84</v>
      </c>
      <c r="K86" s="132">
        <f t="shared" si="8"/>
        <v>17.04623053151801</v>
      </c>
      <c r="L86" s="153">
        <f t="shared" si="9"/>
        <v>76.680376945905124</v>
      </c>
    </row>
    <row r="87" spans="2:12" x14ac:dyDescent="0.25">
      <c r="B87" s="10"/>
      <c r="C87" s="10"/>
      <c r="D87" s="5">
        <v>324</v>
      </c>
      <c r="E87" s="106"/>
      <c r="F87" s="106" t="s">
        <v>191</v>
      </c>
      <c r="G87" s="64">
        <v>0</v>
      </c>
      <c r="H87" s="64">
        <f>+H88</f>
        <v>0</v>
      </c>
      <c r="I87" s="205">
        <f>+I88</f>
        <v>0</v>
      </c>
      <c r="J87" s="64">
        <f>+J88</f>
        <v>0</v>
      </c>
      <c r="K87" s="132">
        <v>0</v>
      </c>
      <c r="L87" s="153">
        <v>0</v>
      </c>
    </row>
    <row r="88" spans="2:12" x14ac:dyDescent="0.25">
      <c r="B88" s="11"/>
      <c r="C88" s="9"/>
      <c r="D88" s="110"/>
      <c r="E88" s="110">
        <v>3241</v>
      </c>
      <c r="F88" s="21" t="s">
        <v>191</v>
      </c>
      <c r="G88" s="60">
        <v>0</v>
      </c>
      <c r="H88" s="60">
        <v>0</v>
      </c>
      <c r="I88" s="206">
        <v>0</v>
      </c>
      <c r="J88" s="125">
        <v>0</v>
      </c>
      <c r="K88" s="132">
        <v>0</v>
      </c>
      <c r="L88" s="153">
        <v>0</v>
      </c>
    </row>
    <row r="89" spans="2:12" x14ac:dyDescent="0.25">
      <c r="B89" s="10"/>
      <c r="C89" s="10"/>
      <c r="D89" s="5">
        <v>329</v>
      </c>
      <c r="E89" s="106"/>
      <c r="F89" s="106" t="s">
        <v>192</v>
      </c>
      <c r="G89" s="64">
        <v>15245.76</v>
      </c>
      <c r="H89" s="64">
        <f>+H90+H91+H92+H93+H94+H95</f>
        <v>18537</v>
      </c>
      <c r="I89" s="205">
        <f>+I90+I91+I92+I93+I94+I95</f>
        <v>178209.46000000002</v>
      </c>
      <c r="J89" s="64">
        <f>+J90+J91+J92+J93+J94+J95</f>
        <v>173869.72000000003</v>
      </c>
      <c r="K89" s="132">
        <f>(J89/G89)*100</f>
        <v>1140.4463929643391</v>
      </c>
      <c r="L89" s="132">
        <f t="shared" si="9"/>
        <v>97.564809410229969</v>
      </c>
    </row>
    <row r="90" spans="2:12" x14ac:dyDescent="0.25">
      <c r="B90" s="11"/>
      <c r="C90" s="9"/>
      <c r="D90" s="110"/>
      <c r="E90" s="110">
        <v>3292</v>
      </c>
      <c r="F90" s="15" t="s">
        <v>93</v>
      </c>
      <c r="G90" s="60">
        <v>243.81</v>
      </c>
      <c r="H90" s="60">
        <v>500</v>
      </c>
      <c r="I90" s="206">
        <v>497.65</v>
      </c>
      <c r="J90" s="125">
        <v>497.65</v>
      </c>
      <c r="K90" s="153">
        <f>(J90/G90)*100</f>
        <v>204.11385915261883</v>
      </c>
      <c r="L90" s="153">
        <f t="shared" si="9"/>
        <v>100</v>
      </c>
    </row>
    <row r="91" spans="2:12" x14ac:dyDescent="0.25">
      <c r="B91" s="10"/>
      <c r="C91" s="10"/>
      <c r="D91" s="10"/>
      <c r="E91" s="21">
        <v>3293</v>
      </c>
      <c r="F91" s="21" t="s">
        <v>94</v>
      </c>
      <c r="G91" s="60">
        <v>0</v>
      </c>
      <c r="H91" s="60">
        <f>20+2000+400</f>
        <v>2420</v>
      </c>
      <c r="I91" s="207">
        <v>2100</v>
      </c>
      <c r="J91" s="125">
        <v>563.72</v>
      </c>
      <c r="K91" s="153">
        <v>0</v>
      </c>
      <c r="L91" s="153">
        <f t="shared" si="9"/>
        <v>26.843809523809526</v>
      </c>
    </row>
    <row r="92" spans="2:12" x14ac:dyDescent="0.25">
      <c r="B92" s="11"/>
      <c r="C92" s="9"/>
      <c r="D92" s="110"/>
      <c r="E92" s="110">
        <v>3294</v>
      </c>
      <c r="F92" s="15" t="s">
        <v>193</v>
      </c>
      <c r="G92" s="60">
        <v>35</v>
      </c>
      <c r="H92" s="60">
        <v>35</v>
      </c>
      <c r="I92" s="206">
        <v>40</v>
      </c>
      <c r="J92" s="125">
        <v>40</v>
      </c>
      <c r="K92" s="153">
        <v>0</v>
      </c>
      <c r="L92" s="153">
        <f t="shared" si="9"/>
        <v>100</v>
      </c>
    </row>
    <row r="93" spans="2:12" x14ac:dyDescent="0.25">
      <c r="B93" s="10"/>
      <c r="C93" s="10"/>
      <c r="D93" s="10"/>
      <c r="E93" s="21">
        <v>3295</v>
      </c>
      <c r="F93" s="21" t="s">
        <v>96</v>
      </c>
      <c r="G93" s="60">
        <v>5962.87</v>
      </c>
      <c r="H93" s="60">
        <f>50+4032+600+1000</f>
        <v>5682</v>
      </c>
      <c r="I93" s="207">
        <v>6638.97</v>
      </c>
      <c r="J93" s="125">
        <v>5194.51</v>
      </c>
      <c r="K93" s="153">
        <f t="shared" ref="K93:K104" si="10">(J93/G93)*100</f>
        <v>87.114258737822553</v>
      </c>
      <c r="L93" s="153">
        <f t="shared" si="9"/>
        <v>78.242709335936141</v>
      </c>
    </row>
    <row r="94" spans="2:12" x14ac:dyDescent="0.25">
      <c r="B94" s="11"/>
      <c r="C94" s="9"/>
      <c r="D94" s="110"/>
      <c r="E94" s="110">
        <v>3296</v>
      </c>
      <c r="F94" s="15" t="s">
        <v>127</v>
      </c>
      <c r="G94" s="60">
        <v>833.47</v>
      </c>
      <c r="H94" s="60">
        <f>100+1000</f>
        <v>1100</v>
      </c>
      <c r="I94" s="206">
        <v>152542.98000000001</v>
      </c>
      <c r="J94" s="125">
        <v>152542.98000000001</v>
      </c>
      <c r="K94" s="153">
        <f t="shared" si="10"/>
        <v>18302.156046408389</v>
      </c>
      <c r="L94" s="153">
        <f t="shared" si="9"/>
        <v>100</v>
      </c>
    </row>
    <row r="95" spans="2:12" x14ac:dyDescent="0.25">
      <c r="B95" s="10"/>
      <c r="C95" s="10"/>
      <c r="D95" s="10"/>
      <c r="E95" s="21">
        <v>3299</v>
      </c>
      <c r="F95" s="21" t="s">
        <v>192</v>
      </c>
      <c r="G95" s="60">
        <v>8170.61</v>
      </c>
      <c r="H95" s="60">
        <f>1500+1000+2000+300+1500+2500</f>
        <v>8800</v>
      </c>
      <c r="I95" s="207">
        <v>16389.86</v>
      </c>
      <c r="J95" s="125">
        <v>15030.86</v>
      </c>
      <c r="K95" s="153">
        <f t="shared" si="10"/>
        <v>183.96251932230277</v>
      </c>
      <c r="L95" s="153">
        <f t="shared" si="9"/>
        <v>91.708287929244065</v>
      </c>
    </row>
    <row r="96" spans="2:12" x14ac:dyDescent="0.25">
      <c r="B96" s="11"/>
      <c r="C96" s="9">
        <v>34</v>
      </c>
      <c r="D96" s="9"/>
      <c r="E96" s="9"/>
      <c r="F96" s="14" t="s">
        <v>98</v>
      </c>
      <c r="G96" s="64">
        <f>+G97+G99</f>
        <v>10142.160000000002</v>
      </c>
      <c r="H96" s="64">
        <f>+H97+H99</f>
        <v>7511.28</v>
      </c>
      <c r="I96" s="205">
        <f>+I97+I99</f>
        <v>7443.05</v>
      </c>
      <c r="J96" s="64">
        <f>+J97+J99</f>
        <v>7558.24</v>
      </c>
      <c r="K96" s="132">
        <f t="shared" si="10"/>
        <v>74.522981297869478</v>
      </c>
      <c r="L96" s="132">
        <f t="shared" ref="L96:L124" si="11">(J96/I96)*100</f>
        <v>101.54761824789568</v>
      </c>
    </row>
    <row r="97" spans="2:12" x14ac:dyDescent="0.25">
      <c r="B97" s="10"/>
      <c r="C97" s="10"/>
      <c r="D97" s="5">
        <v>342</v>
      </c>
      <c r="E97" s="106"/>
      <c r="F97" s="106" t="s">
        <v>194</v>
      </c>
      <c r="G97" s="64">
        <f>+G98</f>
        <v>10057.540000000001</v>
      </c>
      <c r="H97" s="64">
        <f>+H98</f>
        <v>7391.28</v>
      </c>
      <c r="I97" s="205">
        <f>+I98</f>
        <v>7391.28</v>
      </c>
      <c r="J97" s="64">
        <f>+J98</f>
        <v>7504.49</v>
      </c>
      <c r="K97" s="132">
        <f t="shared" si="10"/>
        <v>74.61556205593017</v>
      </c>
      <c r="L97" s="132">
        <f t="shared" si="11"/>
        <v>101.53166975138271</v>
      </c>
    </row>
    <row r="98" spans="2:12" ht="25.5" x14ac:dyDescent="0.25">
      <c r="B98" s="11"/>
      <c r="C98" s="9"/>
      <c r="D98" s="110"/>
      <c r="E98" s="110">
        <v>3423</v>
      </c>
      <c r="F98" s="15" t="s">
        <v>195</v>
      </c>
      <c r="G98" s="60">
        <v>10057.540000000001</v>
      </c>
      <c r="H98" s="60">
        <f>100+7291.28</f>
        <v>7391.28</v>
      </c>
      <c r="I98" s="206">
        <f>100+7291.28</f>
        <v>7391.28</v>
      </c>
      <c r="J98" s="125">
        <v>7504.49</v>
      </c>
      <c r="K98" s="153">
        <f t="shared" si="10"/>
        <v>74.61556205593017</v>
      </c>
      <c r="L98" s="153">
        <f t="shared" si="11"/>
        <v>101.53166975138271</v>
      </c>
    </row>
    <row r="99" spans="2:12" x14ac:dyDescent="0.25">
      <c r="B99" s="10"/>
      <c r="C99" s="10"/>
      <c r="D99" s="5">
        <v>343</v>
      </c>
      <c r="E99" s="106"/>
      <c r="F99" s="106" t="s">
        <v>196</v>
      </c>
      <c r="G99" s="64">
        <f>+G100+G101</f>
        <v>84.62</v>
      </c>
      <c r="H99" s="64">
        <f>+H100+H101</f>
        <v>120</v>
      </c>
      <c r="I99" s="205">
        <f>+I100+I101</f>
        <v>51.769999999999996</v>
      </c>
      <c r="J99" s="64">
        <f>+J100+J101</f>
        <v>53.75</v>
      </c>
      <c r="K99" s="132">
        <f t="shared" si="10"/>
        <v>63.51926258567714</v>
      </c>
      <c r="L99" s="132">
        <f t="shared" si="11"/>
        <v>103.8246088468225</v>
      </c>
    </row>
    <row r="100" spans="2:12" x14ac:dyDescent="0.25">
      <c r="B100" s="11"/>
      <c r="C100" s="9"/>
      <c r="D100" s="110"/>
      <c r="E100" s="110">
        <v>3431</v>
      </c>
      <c r="F100" s="15" t="s">
        <v>197</v>
      </c>
      <c r="G100" s="60">
        <v>84.62</v>
      </c>
      <c r="H100" s="60">
        <v>20</v>
      </c>
      <c r="I100" s="206">
        <v>18.760000000000002</v>
      </c>
      <c r="J100" s="125">
        <v>20.420000000000002</v>
      </c>
      <c r="K100" s="153">
        <f t="shared" si="10"/>
        <v>24.131411013944696</v>
      </c>
      <c r="L100" s="153">
        <f t="shared" si="11"/>
        <v>108.84861407249467</v>
      </c>
    </row>
    <row r="101" spans="2:12" x14ac:dyDescent="0.25">
      <c r="B101" s="10"/>
      <c r="C101" s="10"/>
      <c r="D101" s="10"/>
      <c r="E101" s="21">
        <v>3433</v>
      </c>
      <c r="F101" s="21" t="s">
        <v>101</v>
      </c>
      <c r="G101" s="60">
        <v>0</v>
      </c>
      <c r="H101" s="60">
        <v>100</v>
      </c>
      <c r="I101" s="207">
        <v>33.01</v>
      </c>
      <c r="J101" s="125">
        <v>33.33</v>
      </c>
      <c r="K101" s="153"/>
      <c r="L101" s="153">
        <f t="shared" si="11"/>
        <v>100.96940321114813</v>
      </c>
    </row>
    <row r="102" spans="2:12" ht="25.5" x14ac:dyDescent="0.25">
      <c r="B102" s="11"/>
      <c r="C102" s="9">
        <v>37</v>
      </c>
      <c r="D102" s="9"/>
      <c r="E102" s="9"/>
      <c r="F102" s="14" t="s">
        <v>198</v>
      </c>
      <c r="G102" s="64">
        <f t="shared" ref="G102:J103" si="12">+G103</f>
        <v>2000</v>
      </c>
      <c r="H102" s="64">
        <f t="shared" si="12"/>
        <v>2000</v>
      </c>
      <c r="I102" s="205">
        <f t="shared" si="12"/>
        <v>6373.26</v>
      </c>
      <c r="J102" s="64">
        <f t="shared" si="12"/>
        <v>6393.26</v>
      </c>
      <c r="K102" s="132">
        <f t="shared" si="10"/>
        <v>319.66300000000001</v>
      </c>
      <c r="L102" s="132">
        <f t="shared" si="11"/>
        <v>100.31381114217841</v>
      </c>
    </row>
    <row r="103" spans="2:12" ht="25.5" x14ac:dyDescent="0.25">
      <c r="B103" s="10"/>
      <c r="C103" s="10"/>
      <c r="D103" s="5">
        <v>372</v>
      </c>
      <c r="E103" s="106"/>
      <c r="F103" s="106" t="s">
        <v>199</v>
      </c>
      <c r="G103" s="64">
        <f t="shared" si="12"/>
        <v>2000</v>
      </c>
      <c r="H103" s="64">
        <f t="shared" si="12"/>
        <v>2000</v>
      </c>
      <c r="I103" s="205">
        <f t="shared" si="12"/>
        <v>6373.26</v>
      </c>
      <c r="J103" s="64">
        <f t="shared" si="12"/>
        <v>6393.26</v>
      </c>
      <c r="K103" s="132">
        <f t="shared" si="10"/>
        <v>319.66300000000001</v>
      </c>
      <c r="L103" s="132">
        <f t="shared" si="11"/>
        <v>100.31381114217841</v>
      </c>
    </row>
    <row r="104" spans="2:12" x14ac:dyDescent="0.25">
      <c r="B104" s="11"/>
      <c r="C104" s="9"/>
      <c r="D104" s="110"/>
      <c r="E104" s="110">
        <v>3721</v>
      </c>
      <c r="F104" s="15" t="s">
        <v>200</v>
      </c>
      <c r="G104" s="60">
        <v>2000</v>
      </c>
      <c r="H104" s="60">
        <v>2000</v>
      </c>
      <c r="I104" s="206">
        <v>6373.26</v>
      </c>
      <c r="J104" s="125">
        <v>6393.26</v>
      </c>
      <c r="K104" s="153">
        <f t="shared" si="10"/>
        <v>319.66300000000001</v>
      </c>
      <c r="L104" s="132">
        <f t="shared" si="11"/>
        <v>100.31381114217841</v>
      </c>
    </row>
    <row r="105" spans="2:12" x14ac:dyDescent="0.25">
      <c r="B105" s="10"/>
      <c r="C105" s="5">
        <v>38</v>
      </c>
      <c r="D105" s="5"/>
      <c r="E105" s="106"/>
      <c r="F105" s="106" t="s">
        <v>201</v>
      </c>
      <c r="G105" s="64">
        <f t="shared" ref="G105:J106" si="13">+G106</f>
        <v>544.24</v>
      </c>
      <c r="H105" s="64">
        <f t="shared" si="13"/>
        <v>544.5</v>
      </c>
      <c r="I105" s="205">
        <f t="shared" si="13"/>
        <v>566.54</v>
      </c>
      <c r="J105" s="64">
        <f t="shared" si="13"/>
        <v>566.54</v>
      </c>
      <c r="K105" s="132">
        <v>0</v>
      </c>
      <c r="L105" s="153">
        <f t="shared" si="11"/>
        <v>100</v>
      </c>
    </row>
    <row r="106" spans="2:12" x14ac:dyDescent="0.25">
      <c r="B106" s="11"/>
      <c r="C106" s="9"/>
      <c r="D106" s="9">
        <v>381</v>
      </c>
      <c r="E106" s="9"/>
      <c r="F106" s="14" t="s">
        <v>173</v>
      </c>
      <c r="G106" s="64">
        <f t="shared" si="13"/>
        <v>544.24</v>
      </c>
      <c r="H106" s="64">
        <f t="shared" si="13"/>
        <v>544.5</v>
      </c>
      <c r="I106" s="205">
        <f t="shared" si="13"/>
        <v>566.54</v>
      </c>
      <c r="J106" s="64">
        <f t="shared" si="13"/>
        <v>566.54</v>
      </c>
      <c r="K106" s="132">
        <v>0</v>
      </c>
      <c r="L106" s="153">
        <f t="shared" si="11"/>
        <v>100</v>
      </c>
    </row>
    <row r="107" spans="2:12" x14ac:dyDescent="0.25">
      <c r="B107" s="10"/>
      <c r="C107" s="10"/>
      <c r="D107" s="10"/>
      <c r="E107" s="21">
        <v>3812</v>
      </c>
      <c r="F107" s="21" t="s">
        <v>202</v>
      </c>
      <c r="G107" s="60">
        <v>544.24</v>
      </c>
      <c r="H107" s="60">
        <v>544.5</v>
      </c>
      <c r="I107" s="206">
        <v>566.54</v>
      </c>
      <c r="J107" s="60">
        <v>566.54</v>
      </c>
      <c r="K107" s="132">
        <v>0</v>
      </c>
      <c r="L107" s="153">
        <f t="shared" si="11"/>
        <v>100</v>
      </c>
    </row>
    <row r="108" spans="2:12" x14ac:dyDescent="0.25">
      <c r="B108" s="8">
        <v>4</v>
      </c>
      <c r="C108" s="9"/>
      <c r="D108" s="9"/>
      <c r="E108" s="9"/>
      <c r="F108" s="14" t="s">
        <v>6</v>
      </c>
      <c r="G108" s="64">
        <f>+G109+G118</f>
        <v>211505.38</v>
      </c>
      <c r="H108" s="64">
        <f>+H109+H118</f>
        <v>11796.34</v>
      </c>
      <c r="I108" s="205">
        <v>436587.76</v>
      </c>
      <c r="J108" s="64">
        <f>+J109+J118</f>
        <v>414046.66000000003</v>
      </c>
      <c r="K108" s="132">
        <f>(J108/G108)*100</f>
        <v>195.76176265587193</v>
      </c>
      <c r="L108" s="132">
        <f t="shared" si="11"/>
        <v>94.836983061549873</v>
      </c>
    </row>
    <row r="109" spans="2:12" ht="25.5" x14ac:dyDescent="0.25">
      <c r="B109" s="10"/>
      <c r="C109" s="5">
        <v>42</v>
      </c>
      <c r="D109" s="5"/>
      <c r="E109" s="106"/>
      <c r="F109" s="106" t="s">
        <v>111</v>
      </c>
      <c r="G109" s="64">
        <f>+G110+G114+G116</f>
        <v>11732.910000000002</v>
      </c>
      <c r="H109" s="64">
        <f>+H110+H114+H116</f>
        <v>11796.34</v>
      </c>
      <c r="I109" s="205">
        <f>+I110+I114+I116</f>
        <v>100472.17</v>
      </c>
      <c r="J109" s="64">
        <f>+J110+J114+J116</f>
        <v>77930.97</v>
      </c>
      <c r="K109" s="132">
        <f>(J109/G109)*100</f>
        <v>664.20836774508621</v>
      </c>
      <c r="L109" s="132">
        <f t="shared" si="11"/>
        <v>77.564732602072795</v>
      </c>
    </row>
    <row r="110" spans="2:12" x14ac:dyDescent="0.25">
      <c r="B110" s="11"/>
      <c r="C110" s="9"/>
      <c r="D110" s="9">
        <v>422</v>
      </c>
      <c r="E110" s="9"/>
      <c r="F110" s="14" t="s">
        <v>203</v>
      </c>
      <c r="G110" s="64">
        <f>+G111+G112+G113</f>
        <v>10850.220000000001</v>
      </c>
      <c r="H110" s="64">
        <f>+H111+H112+H113</f>
        <v>11000</v>
      </c>
      <c r="I110" s="205">
        <f>+I111+I112+I113</f>
        <v>74198.33</v>
      </c>
      <c r="J110" s="64">
        <f>+J111+J112+J113</f>
        <v>61960.53</v>
      </c>
      <c r="K110" s="132">
        <f>(J110/G110)*100</f>
        <v>571.05321366755697</v>
      </c>
      <c r="L110" s="132">
        <f t="shared" si="11"/>
        <v>83.506636874441782</v>
      </c>
    </row>
    <row r="111" spans="2:12" x14ac:dyDescent="0.25">
      <c r="B111" s="10"/>
      <c r="C111" s="10"/>
      <c r="D111" s="10"/>
      <c r="E111" s="21">
        <v>4221</v>
      </c>
      <c r="F111" s="111" t="s">
        <v>117</v>
      </c>
      <c r="G111" s="60">
        <v>7734.22</v>
      </c>
      <c r="H111" s="60">
        <f>5000+4000+1000</f>
        <v>10000</v>
      </c>
      <c r="I111" s="207">
        <v>22998.33</v>
      </c>
      <c r="J111" s="125">
        <v>54040.63</v>
      </c>
      <c r="K111" s="153">
        <v>0</v>
      </c>
      <c r="L111" s="153">
        <f t="shared" si="11"/>
        <v>234.97632219382885</v>
      </c>
    </row>
    <row r="112" spans="2:12" x14ac:dyDescent="0.25">
      <c r="B112" s="11"/>
      <c r="C112" s="9"/>
      <c r="D112" s="110"/>
      <c r="E112" s="110">
        <v>4223</v>
      </c>
      <c r="F112" s="21" t="s">
        <v>128</v>
      </c>
      <c r="G112" s="60">
        <v>1973.5</v>
      </c>
      <c r="H112" s="60">
        <v>500</v>
      </c>
      <c r="I112" s="206">
        <v>500</v>
      </c>
      <c r="J112" s="125">
        <v>0</v>
      </c>
      <c r="K112" s="132">
        <f t="shared" ref="K112:K115" si="14">(J112/G112)*100</f>
        <v>0</v>
      </c>
      <c r="L112" s="153">
        <f t="shared" si="11"/>
        <v>0</v>
      </c>
    </row>
    <row r="113" spans="2:12" x14ac:dyDescent="0.25">
      <c r="B113" s="10"/>
      <c r="C113" s="10"/>
      <c r="D113" s="10"/>
      <c r="E113" s="21">
        <v>4227</v>
      </c>
      <c r="F113" s="21" t="s">
        <v>112</v>
      </c>
      <c r="G113" s="60">
        <v>1142.5</v>
      </c>
      <c r="H113" s="60">
        <v>500</v>
      </c>
      <c r="I113" s="207">
        <v>50700</v>
      </c>
      <c r="J113" s="125">
        <v>7919.9</v>
      </c>
      <c r="K113" s="153">
        <f t="shared" si="14"/>
        <v>693.20787746170674</v>
      </c>
      <c r="L113" s="153">
        <f t="shared" si="11"/>
        <v>15.621104536489149</v>
      </c>
    </row>
    <row r="114" spans="2:12" ht="25.5" x14ac:dyDescent="0.25">
      <c r="B114" s="11"/>
      <c r="C114" s="9"/>
      <c r="D114" s="9">
        <v>424</v>
      </c>
      <c r="E114" s="9"/>
      <c r="F114" s="14" t="s">
        <v>204</v>
      </c>
      <c r="G114" s="64">
        <f>+G115</f>
        <v>882.69</v>
      </c>
      <c r="H114" s="64">
        <f>+H115</f>
        <v>796.34</v>
      </c>
      <c r="I114" s="205">
        <f>+I115</f>
        <v>1336.3400000000001</v>
      </c>
      <c r="J114" s="64">
        <f>+J115</f>
        <v>720.44</v>
      </c>
      <c r="K114" s="132">
        <f t="shared" si="14"/>
        <v>81.618688327725479</v>
      </c>
      <c r="L114" s="132">
        <f t="shared" si="11"/>
        <v>53.911429725967942</v>
      </c>
    </row>
    <row r="115" spans="2:12" x14ac:dyDescent="0.25">
      <c r="B115" s="10"/>
      <c r="C115" s="10"/>
      <c r="D115" s="10"/>
      <c r="E115" s="21">
        <v>4241</v>
      </c>
      <c r="F115" s="21" t="s">
        <v>129</v>
      </c>
      <c r="G115" s="60">
        <v>882.69</v>
      </c>
      <c r="H115" s="60">
        <v>796.34</v>
      </c>
      <c r="I115" s="207">
        <f>796.34+540</f>
        <v>1336.3400000000001</v>
      </c>
      <c r="J115" s="125">
        <v>720.44</v>
      </c>
      <c r="K115" s="153">
        <f t="shared" si="14"/>
        <v>81.618688327725479</v>
      </c>
      <c r="L115" s="153">
        <f t="shared" si="11"/>
        <v>53.911429725967942</v>
      </c>
    </row>
    <row r="116" spans="2:12" x14ac:dyDescent="0.25">
      <c r="B116" s="11"/>
      <c r="C116" s="9"/>
      <c r="D116" s="9">
        <v>426</v>
      </c>
      <c r="E116" s="9"/>
      <c r="F116" s="14" t="s">
        <v>205</v>
      </c>
      <c r="G116" s="64">
        <f>+G117</f>
        <v>0</v>
      </c>
      <c r="H116" s="64">
        <f>+H117</f>
        <v>0</v>
      </c>
      <c r="I116" s="205">
        <f>+I117</f>
        <v>24937.5</v>
      </c>
      <c r="J116" s="64">
        <f>+J117</f>
        <v>15250</v>
      </c>
      <c r="K116" s="132">
        <v>0</v>
      </c>
      <c r="L116" s="132">
        <f t="shared" si="11"/>
        <v>61.152882205513784</v>
      </c>
    </row>
    <row r="117" spans="2:12" x14ac:dyDescent="0.25">
      <c r="B117" s="11"/>
      <c r="C117" s="9"/>
      <c r="D117" s="110"/>
      <c r="E117" s="110">
        <v>4264</v>
      </c>
      <c r="F117" s="15" t="s">
        <v>206</v>
      </c>
      <c r="G117" s="60">
        <v>0</v>
      </c>
      <c r="H117" s="60">
        <v>0</v>
      </c>
      <c r="I117" s="206">
        <v>24937.5</v>
      </c>
      <c r="J117" s="125">
        <v>15250</v>
      </c>
      <c r="K117" s="132">
        <v>0</v>
      </c>
      <c r="L117" s="132">
        <f t="shared" si="11"/>
        <v>61.152882205513784</v>
      </c>
    </row>
    <row r="118" spans="2:12" ht="25.5" x14ac:dyDescent="0.25">
      <c r="B118" s="10"/>
      <c r="C118" s="5">
        <v>45</v>
      </c>
      <c r="D118" s="5"/>
      <c r="E118" s="106"/>
      <c r="F118" s="106" t="s">
        <v>207</v>
      </c>
      <c r="G118" s="64">
        <f t="shared" ref="G118:J119" si="15">+G119</f>
        <v>199772.47</v>
      </c>
      <c r="H118" s="64">
        <f t="shared" si="15"/>
        <v>0</v>
      </c>
      <c r="I118" s="205">
        <f t="shared" si="15"/>
        <v>336115.69</v>
      </c>
      <c r="J118" s="64">
        <f t="shared" si="15"/>
        <v>336115.69</v>
      </c>
      <c r="K118" s="132">
        <v>0</v>
      </c>
      <c r="L118" s="153">
        <f t="shared" si="11"/>
        <v>100</v>
      </c>
    </row>
    <row r="119" spans="2:12" x14ac:dyDescent="0.25">
      <c r="B119" s="11"/>
      <c r="C119" s="9"/>
      <c r="D119" s="114">
        <v>451</v>
      </c>
      <c r="E119" s="114"/>
      <c r="F119" s="115" t="s">
        <v>212</v>
      </c>
      <c r="G119" s="161">
        <f t="shared" si="15"/>
        <v>199772.47</v>
      </c>
      <c r="H119" s="64">
        <f t="shared" si="15"/>
        <v>0</v>
      </c>
      <c r="I119" s="205">
        <f t="shared" si="15"/>
        <v>336115.69</v>
      </c>
      <c r="J119" s="64">
        <f t="shared" si="15"/>
        <v>336115.69</v>
      </c>
      <c r="K119" s="132">
        <v>0</v>
      </c>
      <c r="L119" s="153">
        <f t="shared" si="11"/>
        <v>100</v>
      </c>
    </row>
    <row r="120" spans="2:12" x14ac:dyDescent="0.25">
      <c r="B120" s="10"/>
      <c r="C120" s="10"/>
      <c r="D120" s="10"/>
      <c r="E120" s="21">
        <v>4511</v>
      </c>
      <c r="F120" s="21" t="s">
        <v>212</v>
      </c>
      <c r="G120" s="60">
        <v>199772.47</v>
      </c>
      <c r="H120" s="60"/>
      <c r="I120" s="207">
        <v>336115.69</v>
      </c>
      <c r="J120" s="125">
        <v>336115.69</v>
      </c>
      <c r="K120" s="132">
        <v>0</v>
      </c>
      <c r="L120" s="153">
        <f t="shared" si="11"/>
        <v>100</v>
      </c>
    </row>
    <row r="121" spans="2:12" x14ac:dyDescent="0.25">
      <c r="B121" s="8">
        <v>5</v>
      </c>
      <c r="C121" s="9"/>
      <c r="D121" s="9"/>
      <c r="E121" s="9"/>
      <c r="F121" s="14" t="s">
        <v>208</v>
      </c>
      <c r="G121" s="64">
        <f t="shared" ref="G121:J122" si="16">+G122</f>
        <v>0</v>
      </c>
      <c r="H121" s="64">
        <f t="shared" si="16"/>
        <v>0</v>
      </c>
      <c r="I121" s="205">
        <f t="shared" si="16"/>
        <v>47673.24</v>
      </c>
      <c r="J121" s="124">
        <f t="shared" si="16"/>
        <v>47673.24</v>
      </c>
      <c r="K121" s="132">
        <v>0</v>
      </c>
      <c r="L121" s="153">
        <f t="shared" si="11"/>
        <v>100</v>
      </c>
    </row>
    <row r="122" spans="2:12" ht="25.5" x14ac:dyDescent="0.25">
      <c r="B122" s="5"/>
      <c r="C122" s="5">
        <v>54</v>
      </c>
      <c r="D122" s="5"/>
      <c r="E122" s="5"/>
      <c r="F122" s="14" t="s">
        <v>209</v>
      </c>
      <c r="G122" s="64">
        <f t="shared" si="16"/>
        <v>0</v>
      </c>
      <c r="H122" s="64">
        <f t="shared" si="16"/>
        <v>0</v>
      </c>
      <c r="I122" s="209">
        <f t="shared" si="16"/>
        <v>47673.24</v>
      </c>
      <c r="J122" s="124">
        <f t="shared" si="16"/>
        <v>47673.24</v>
      </c>
      <c r="K122" s="132">
        <v>0</v>
      </c>
      <c r="L122" s="153">
        <f t="shared" si="11"/>
        <v>100</v>
      </c>
    </row>
    <row r="123" spans="2:12" ht="38.25" x14ac:dyDescent="0.25">
      <c r="B123" s="10"/>
      <c r="C123" s="10"/>
      <c r="D123" s="10">
        <v>544</v>
      </c>
      <c r="E123" s="21"/>
      <c r="F123" s="21" t="s">
        <v>213</v>
      </c>
      <c r="G123" s="60"/>
      <c r="H123" s="60"/>
      <c r="I123" s="207">
        <v>47673.24</v>
      </c>
      <c r="J123" s="122">
        <v>47673.24</v>
      </c>
      <c r="K123" s="132">
        <v>0</v>
      </c>
      <c r="L123" s="153">
        <f t="shared" si="11"/>
        <v>100</v>
      </c>
    </row>
    <row r="124" spans="2:12" ht="25.5" x14ac:dyDescent="0.25">
      <c r="B124" s="10"/>
      <c r="C124" s="10"/>
      <c r="D124" s="10"/>
      <c r="E124" s="21">
        <v>5443</v>
      </c>
      <c r="F124" s="21" t="s">
        <v>221</v>
      </c>
      <c r="G124" s="60">
        <v>57017.32</v>
      </c>
      <c r="H124" s="60">
        <f>47673.24</f>
        <v>47673.24</v>
      </c>
      <c r="I124" s="207">
        <v>47673.24</v>
      </c>
      <c r="J124" s="122">
        <v>47673.24</v>
      </c>
      <c r="K124" s="132">
        <v>0</v>
      </c>
      <c r="L124" s="153">
        <f t="shared" si="11"/>
        <v>100</v>
      </c>
    </row>
    <row r="125" spans="2:12" x14ac:dyDescent="0.25">
      <c r="I125" s="210"/>
    </row>
  </sheetData>
  <mergeCells count="11">
    <mergeCell ref="B51:F51"/>
    <mergeCell ref="B9:F9"/>
    <mergeCell ref="B50:F50"/>
    <mergeCell ref="B8:F8"/>
    <mergeCell ref="B7:L7"/>
    <mergeCell ref="B3:L3"/>
    <mergeCell ref="B1:L1"/>
    <mergeCell ref="B2:L2"/>
    <mergeCell ref="B4:L4"/>
    <mergeCell ref="B6:L6"/>
    <mergeCell ref="B5:L5"/>
  </mergeCells>
  <pageMargins left="0.7" right="0.7" top="0.75" bottom="0.75" header="0.3" footer="0.3"/>
  <pageSetup paperSize="9" scale="60" fitToHeight="0" orientation="landscape" r:id="rId1"/>
  <rowBreaks count="3" manualBreakCount="3">
    <brk id="39" min="1" max="12" man="1"/>
    <brk id="89" min="1" max="12" man="1"/>
    <brk id="126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44"/>
  <sheetViews>
    <sheetView workbookViewId="0">
      <selection activeCell="H47" sqref="H47"/>
    </sheetView>
  </sheetViews>
  <sheetFormatPr defaultRowHeight="15" x14ac:dyDescent="0.25"/>
  <cols>
    <col min="2" max="2" width="37.7109375" customWidth="1"/>
    <col min="3" max="3" width="25.28515625" customWidth="1"/>
    <col min="4" max="4" width="25.28515625" hidden="1" customWidth="1"/>
    <col min="5" max="5" width="25.28515625" customWidth="1"/>
    <col min="6" max="6" width="26.7109375" customWidth="1"/>
    <col min="7" max="7" width="18.140625" customWidth="1"/>
    <col min="8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218" t="s">
        <v>37</v>
      </c>
      <c r="C2" s="218"/>
      <c r="D2" s="218"/>
      <c r="E2" s="218"/>
      <c r="F2" s="218"/>
      <c r="G2" s="218"/>
      <c r="H2" s="218"/>
    </row>
    <row r="3" spans="2:8" ht="18" x14ac:dyDescent="0.25">
      <c r="B3" s="44"/>
      <c r="C3" s="44"/>
      <c r="D3" s="44"/>
      <c r="E3" s="44"/>
      <c r="F3" s="45"/>
      <c r="G3" s="45"/>
      <c r="H3" s="45"/>
    </row>
    <row r="4" spans="2:8" ht="33.75" customHeight="1" x14ac:dyDescent="0.25">
      <c r="B4" s="32" t="s">
        <v>7</v>
      </c>
      <c r="C4" s="32" t="s">
        <v>224</v>
      </c>
      <c r="D4" s="32" t="s">
        <v>230</v>
      </c>
      <c r="E4" s="32" t="s">
        <v>254</v>
      </c>
      <c r="F4" s="32" t="s">
        <v>253</v>
      </c>
      <c r="G4" s="32" t="s">
        <v>21</v>
      </c>
      <c r="H4" s="32" t="s">
        <v>43</v>
      </c>
    </row>
    <row r="5" spans="2:8" x14ac:dyDescent="0.25">
      <c r="B5" s="32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34</v>
      </c>
      <c r="H5" s="34" t="s">
        <v>35</v>
      </c>
    </row>
    <row r="6" spans="2:8" x14ac:dyDescent="0.25">
      <c r="B6" s="104" t="s">
        <v>40</v>
      </c>
      <c r="C6" s="162">
        <f>+C7+C11+C13+C17+C21+C23</f>
        <v>1705541.0600000003</v>
      </c>
      <c r="D6" s="162">
        <f t="shared" ref="D6:E6" si="0">+D7+D11+D13+D17+D21+D23</f>
        <v>1479369.53</v>
      </c>
      <c r="E6" s="162">
        <f t="shared" si="0"/>
        <v>2146647.13</v>
      </c>
      <c r="F6" s="162">
        <v>2191798.71</v>
      </c>
      <c r="G6" s="163">
        <f>(F6/C6)*100</f>
        <v>128.5104628322463</v>
      </c>
      <c r="H6" s="163">
        <f>(F6/E6)*100</f>
        <v>102.10335361452722</v>
      </c>
    </row>
    <row r="7" spans="2:8" x14ac:dyDescent="0.25">
      <c r="B7" s="5" t="s">
        <v>15</v>
      </c>
      <c r="C7" s="64">
        <f>+C8+C9</f>
        <v>112344.87</v>
      </c>
      <c r="D7" s="64">
        <f t="shared" ref="D7:F7" si="1">+D8+D9+D10</f>
        <v>0</v>
      </c>
      <c r="E7" s="64">
        <f t="shared" si="1"/>
        <v>440305.06</v>
      </c>
      <c r="F7" s="119">
        <f t="shared" si="1"/>
        <v>430606.25</v>
      </c>
      <c r="G7" s="164">
        <f t="shared" ref="G7:G21" si="2">(F7/C7)*100</f>
        <v>383.28964197475153</v>
      </c>
      <c r="H7" s="165">
        <f t="shared" ref="H7:H22" si="3">(F7/E7)*100</f>
        <v>97.797252205096157</v>
      </c>
    </row>
    <row r="8" spans="2:8" x14ac:dyDescent="0.25">
      <c r="B8" s="18" t="s">
        <v>16</v>
      </c>
      <c r="C8" s="151">
        <v>20502.29</v>
      </c>
      <c r="D8" s="60">
        <v>0</v>
      </c>
      <c r="E8" s="60">
        <v>88531.39</v>
      </c>
      <c r="F8" s="156">
        <v>88520.08</v>
      </c>
      <c r="G8" s="166">
        <f t="shared" si="2"/>
        <v>431.75703787235477</v>
      </c>
      <c r="H8" s="167">
        <f t="shared" si="3"/>
        <v>99.987224870184463</v>
      </c>
    </row>
    <row r="9" spans="2:8" x14ac:dyDescent="0.25">
      <c r="B9" s="19" t="s">
        <v>151</v>
      </c>
      <c r="C9" s="151">
        <v>91842.58</v>
      </c>
      <c r="D9" s="60">
        <v>0</v>
      </c>
      <c r="E9" s="60">
        <v>351773.67</v>
      </c>
      <c r="F9" s="156">
        <v>342086.17</v>
      </c>
      <c r="G9" s="166">
        <f t="shared" si="2"/>
        <v>372.4701222461303</v>
      </c>
      <c r="H9" s="167">
        <f t="shared" si="3"/>
        <v>97.246098606527326</v>
      </c>
    </row>
    <row r="10" spans="2:8" x14ac:dyDescent="0.25">
      <c r="B10" s="19" t="s">
        <v>210</v>
      </c>
      <c r="C10" s="60">
        <v>0</v>
      </c>
      <c r="D10" s="60">
        <v>0</v>
      </c>
      <c r="E10" s="60">
        <v>0</v>
      </c>
      <c r="F10" s="168">
        <v>0</v>
      </c>
      <c r="G10" s="164">
        <v>0</v>
      </c>
      <c r="H10" s="167"/>
    </row>
    <row r="11" spans="2:8" x14ac:dyDescent="0.25">
      <c r="B11" s="5" t="s">
        <v>17</v>
      </c>
      <c r="C11" s="64">
        <f>+C12</f>
        <v>19106.060000000001</v>
      </c>
      <c r="D11" s="64">
        <f>+D12</f>
        <v>31461.34</v>
      </c>
      <c r="E11" s="123">
        <f>+E12</f>
        <v>24361.34</v>
      </c>
      <c r="F11" s="169">
        <f>+F12</f>
        <v>29388.16</v>
      </c>
      <c r="G11" s="164">
        <f t="shared" si="2"/>
        <v>153.81590971660299</v>
      </c>
      <c r="H11" s="165">
        <f t="shared" si="3"/>
        <v>120.63441501986343</v>
      </c>
    </row>
    <row r="12" spans="2:8" x14ac:dyDescent="0.25">
      <c r="B12" s="20" t="s">
        <v>18</v>
      </c>
      <c r="C12" s="151">
        <v>19106.060000000001</v>
      </c>
      <c r="D12" s="60">
        <v>31461.34</v>
      </c>
      <c r="E12" s="121">
        <v>24361.34</v>
      </c>
      <c r="F12" s="170">
        <v>29388.16</v>
      </c>
      <c r="G12" s="166">
        <f t="shared" si="2"/>
        <v>153.81590971660299</v>
      </c>
      <c r="H12" s="167">
        <f t="shared" si="3"/>
        <v>120.63441501986343</v>
      </c>
    </row>
    <row r="13" spans="2:8" x14ac:dyDescent="0.25">
      <c r="B13" s="116" t="s">
        <v>215</v>
      </c>
      <c r="C13" s="64">
        <f>+C14+C15+C16</f>
        <v>329925.61</v>
      </c>
      <c r="D13" s="64">
        <f>+D14+D15+D16</f>
        <v>214602.4</v>
      </c>
      <c r="E13" s="123">
        <f>+E14+E15+E16</f>
        <v>391318.84</v>
      </c>
      <c r="F13" s="169">
        <f>+F14+F15+F16</f>
        <v>377708.32</v>
      </c>
      <c r="G13" s="164">
        <f t="shared" si="2"/>
        <v>114.48287388178203</v>
      </c>
      <c r="H13" s="165">
        <f t="shared" si="3"/>
        <v>96.521884813928196</v>
      </c>
    </row>
    <row r="14" spans="2:8" ht="25.5" x14ac:dyDescent="0.25">
      <c r="B14" s="20" t="s">
        <v>152</v>
      </c>
      <c r="C14" s="151">
        <v>5865</v>
      </c>
      <c r="D14" s="60">
        <v>10702.5</v>
      </c>
      <c r="E14" s="121">
        <v>8666.36</v>
      </c>
      <c r="F14" s="170">
        <v>10550</v>
      </c>
      <c r="G14" s="166">
        <f t="shared" si="2"/>
        <v>179.88064791133843</v>
      </c>
      <c r="H14" s="167">
        <f t="shared" si="3"/>
        <v>121.73507677963988</v>
      </c>
    </row>
    <row r="15" spans="2:8" x14ac:dyDescent="0.25">
      <c r="B15" s="20" t="s">
        <v>153</v>
      </c>
      <c r="C15" s="151">
        <v>29335.35</v>
      </c>
      <c r="D15" s="60">
        <v>50092.22</v>
      </c>
      <c r="E15" s="121">
        <v>27314.35</v>
      </c>
      <c r="F15" s="170">
        <v>11820.19</v>
      </c>
      <c r="G15" s="166">
        <f t="shared" si="2"/>
        <v>40.29333210614498</v>
      </c>
      <c r="H15" s="167">
        <f t="shared" si="3"/>
        <v>43.274652334761768</v>
      </c>
    </row>
    <row r="16" spans="2:8" x14ac:dyDescent="0.25">
      <c r="B16" s="20" t="s">
        <v>154</v>
      </c>
      <c r="C16" s="151">
        <v>294725.26</v>
      </c>
      <c r="D16" s="60">
        <v>153807.67999999999</v>
      </c>
      <c r="E16" s="121">
        <v>355338.13</v>
      </c>
      <c r="F16" s="156">
        <v>355338.13</v>
      </c>
      <c r="G16" s="166">
        <f t="shared" si="2"/>
        <v>120.56588905884755</v>
      </c>
      <c r="H16" s="167">
        <f t="shared" si="3"/>
        <v>100</v>
      </c>
    </row>
    <row r="17" spans="2:8" x14ac:dyDescent="0.25">
      <c r="B17" s="126" t="s">
        <v>218</v>
      </c>
      <c r="C17" s="64">
        <f>+C18+C19+C20</f>
        <v>1231959.5200000003</v>
      </c>
      <c r="D17" s="64">
        <f>+D18+D19+D20</f>
        <v>1044193.86</v>
      </c>
      <c r="E17" s="123">
        <f>+E18+E19+E20</f>
        <v>1279861.8899999999</v>
      </c>
      <c r="F17" s="169">
        <f>+F18+F19+F20</f>
        <v>1340332.03</v>
      </c>
      <c r="G17" s="164">
        <f t="shared" si="2"/>
        <v>108.79675900389971</v>
      </c>
      <c r="H17" s="165">
        <f t="shared" si="3"/>
        <v>104.72473947950745</v>
      </c>
    </row>
    <row r="18" spans="2:8" x14ac:dyDescent="0.25">
      <c r="B18" s="20" t="s">
        <v>155</v>
      </c>
      <c r="C18" s="60">
        <v>1220160.57</v>
      </c>
      <c r="D18" s="60">
        <v>1040518.86</v>
      </c>
      <c r="E18" s="121">
        <v>1273361.8899999999</v>
      </c>
      <c r="F18" s="168">
        <v>1329877.21</v>
      </c>
      <c r="G18" s="166">
        <f t="shared" si="2"/>
        <v>108.99198373538657</v>
      </c>
      <c r="H18" s="167">
        <f t="shared" si="3"/>
        <v>104.43827638033049</v>
      </c>
    </row>
    <row r="19" spans="2:8" x14ac:dyDescent="0.25">
      <c r="B19" s="20" t="s">
        <v>156</v>
      </c>
      <c r="C19" s="60">
        <v>9692.8700000000008</v>
      </c>
      <c r="D19" s="60">
        <v>2500</v>
      </c>
      <c r="E19" s="121">
        <v>6500</v>
      </c>
      <c r="F19" s="170">
        <v>10454.82</v>
      </c>
      <c r="G19" s="166">
        <v>0</v>
      </c>
      <c r="H19" s="167">
        <f t="shared" si="3"/>
        <v>160.84338461538462</v>
      </c>
    </row>
    <row r="20" spans="2:8" x14ac:dyDescent="0.25">
      <c r="B20" s="20" t="s">
        <v>157</v>
      </c>
      <c r="C20" s="60">
        <v>2106.08</v>
      </c>
      <c r="D20" s="60">
        <v>1175</v>
      </c>
      <c r="E20" s="121">
        <v>0</v>
      </c>
      <c r="F20" s="170">
        <v>0</v>
      </c>
      <c r="G20" s="166">
        <f t="shared" si="2"/>
        <v>0</v>
      </c>
      <c r="H20" s="167">
        <v>0</v>
      </c>
    </row>
    <row r="21" spans="2:8" x14ac:dyDescent="0.25">
      <c r="B21" s="105" t="s">
        <v>161</v>
      </c>
      <c r="C21" s="64">
        <f>+C22</f>
        <v>3930</v>
      </c>
      <c r="D21" s="64">
        <f t="shared" ref="D21:F21" si="4">+D22</f>
        <v>3300</v>
      </c>
      <c r="E21" s="64">
        <f t="shared" si="4"/>
        <v>10800</v>
      </c>
      <c r="F21" s="119">
        <f t="shared" si="4"/>
        <v>13763.95</v>
      </c>
      <c r="G21" s="164">
        <f t="shared" si="2"/>
        <v>350.22773536895676</v>
      </c>
      <c r="H21" s="165">
        <f t="shared" si="3"/>
        <v>127.44398148148149</v>
      </c>
    </row>
    <row r="22" spans="2:8" x14ac:dyDescent="0.25">
      <c r="B22" s="20" t="s">
        <v>158</v>
      </c>
      <c r="C22" s="60">
        <v>3930</v>
      </c>
      <c r="D22" s="60">
        <v>3300</v>
      </c>
      <c r="E22" s="121">
        <v>10800</v>
      </c>
      <c r="F22" s="170">
        <v>13763.95</v>
      </c>
      <c r="G22" s="166">
        <f>(F22/C22)*100</f>
        <v>350.22773536895676</v>
      </c>
      <c r="H22" s="167">
        <f t="shared" si="3"/>
        <v>127.44398148148149</v>
      </c>
    </row>
    <row r="23" spans="2:8" ht="30" x14ac:dyDescent="0.25">
      <c r="B23" s="105" t="s">
        <v>160</v>
      </c>
      <c r="C23" s="64">
        <f>+C24</f>
        <v>8275</v>
      </c>
      <c r="D23" s="64">
        <f>+D24</f>
        <v>185811.93</v>
      </c>
      <c r="E23" s="123">
        <v>0</v>
      </c>
      <c r="F23" s="124">
        <v>0</v>
      </c>
      <c r="G23" s="164">
        <v>0</v>
      </c>
      <c r="H23" s="167">
        <v>0</v>
      </c>
    </row>
    <row r="24" spans="2:8" x14ac:dyDescent="0.25">
      <c r="B24" s="20" t="s">
        <v>159</v>
      </c>
      <c r="C24" s="60">
        <v>8275</v>
      </c>
      <c r="D24" s="60">
        <v>185811.93</v>
      </c>
      <c r="E24" s="121">
        <v>0</v>
      </c>
      <c r="F24" s="122">
        <v>0</v>
      </c>
      <c r="G24" s="164">
        <v>0</v>
      </c>
      <c r="H24" s="167">
        <v>0</v>
      </c>
    </row>
    <row r="25" spans="2:8" x14ac:dyDescent="0.25">
      <c r="B25" s="20"/>
      <c r="C25" s="60"/>
      <c r="D25" s="60"/>
      <c r="E25" s="121"/>
      <c r="F25" s="122"/>
      <c r="G25" s="164">
        <v>0</v>
      </c>
      <c r="H25" s="122"/>
    </row>
    <row r="26" spans="2:8" ht="15.75" customHeight="1" x14ac:dyDescent="0.25">
      <c r="B26" s="104" t="s">
        <v>41</v>
      </c>
      <c r="C26" s="162">
        <f>+C27+C31+C33+C37+C41+C43</f>
        <v>1678226.7100000002</v>
      </c>
      <c r="D26" s="162">
        <f t="shared" ref="D26" si="5">+D27+D31+D33+D37+D41+D43</f>
        <v>1479369.53</v>
      </c>
      <c r="E26" s="162">
        <v>2146647.13</v>
      </c>
      <c r="F26" s="162">
        <v>2310822.41</v>
      </c>
      <c r="G26" s="163">
        <f>(F26/C26)*100</f>
        <v>137.69429340091958</v>
      </c>
      <c r="H26" s="163">
        <f>(F26/E26)*100</f>
        <v>107.64798637398781</v>
      </c>
    </row>
    <row r="27" spans="2:8" x14ac:dyDescent="0.25">
      <c r="B27" s="5" t="s">
        <v>15</v>
      </c>
      <c r="C27" s="64">
        <f>+C28+C29+C30</f>
        <v>112344.87</v>
      </c>
      <c r="D27" s="64">
        <f t="shared" ref="D27" si="6">+D28+D29+D30</f>
        <v>0</v>
      </c>
      <c r="E27" s="64">
        <f t="shared" ref="E27:F27" si="7">+E28+E29+E30</f>
        <v>440305.06</v>
      </c>
      <c r="F27" s="119">
        <f t="shared" si="7"/>
        <v>432258.49</v>
      </c>
      <c r="G27" s="164">
        <f t="shared" ref="G27:G42" si="8">(F27/C27)*100</f>
        <v>384.76032773014026</v>
      </c>
      <c r="H27" s="165">
        <f t="shared" ref="H27:H29" si="9">(F27/E27)*100</f>
        <v>98.172501129103523</v>
      </c>
    </row>
    <row r="28" spans="2:8" x14ac:dyDescent="0.25">
      <c r="B28" s="18" t="s">
        <v>16</v>
      </c>
      <c r="C28" s="151">
        <v>20502.29</v>
      </c>
      <c r="D28" s="60">
        <v>0</v>
      </c>
      <c r="E28" s="60">
        <v>88531.39</v>
      </c>
      <c r="F28" s="156">
        <v>90172.32</v>
      </c>
      <c r="G28" s="166">
        <f t="shared" si="8"/>
        <v>439.81584496170916</v>
      </c>
      <c r="H28" s="167">
        <f t="shared" si="9"/>
        <v>101.85350077526176</v>
      </c>
    </row>
    <row r="29" spans="2:8" x14ac:dyDescent="0.25">
      <c r="B29" s="19" t="s">
        <v>151</v>
      </c>
      <c r="C29" s="151">
        <v>91842.58</v>
      </c>
      <c r="D29" s="60">
        <v>0</v>
      </c>
      <c r="E29" s="60">
        <v>351773.67</v>
      </c>
      <c r="F29" s="156">
        <v>342086.17</v>
      </c>
      <c r="G29" s="166">
        <f t="shared" si="8"/>
        <v>372.4701222461303</v>
      </c>
      <c r="H29" s="167">
        <f t="shared" si="9"/>
        <v>97.246098606527326</v>
      </c>
    </row>
    <row r="30" spans="2:8" x14ac:dyDescent="0.25">
      <c r="B30" s="19" t="s">
        <v>210</v>
      </c>
      <c r="C30" s="60"/>
      <c r="D30" s="60">
        <v>0</v>
      </c>
      <c r="E30" s="60">
        <v>0</v>
      </c>
      <c r="F30" s="168">
        <v>0</v>
      </c>
      <c r="G30" s="164">
        <v>0</v>
      </c>
      <c r="H30" s="167">
        <v>0</v>
      </c>
    </row>
    <row r="31" spans="2:8" x14ac:dyDescent="0.25">
      <c r="B31" s="5" t="s">
        <v>17</v>
      </c>
      <c r="C31" s="64">
        <f>+C32</f>
        <v>14891.25</v>
      </c>
      <c r="D31" s="64">
        <f>+D32</f>
        <v>31461.34</v>
      </c>
      <c r="E31" s="123">
        <f>+E32</f>
        <v>24361.34</v>
      </c>
      <c r="F31" s="169">
        <f>+F32</f>
        <v>29388.16</v>
      </c>
      <c r="G31" s="164">
        <f t="shared" si="8"/>
        <v>197.35186770754638</v>
      </c>
      <c r="H31" s="165">
        <f t="shared" ref="H31:H42" si="10">(F31/E31)*100</f>
        <v>120.63441501986343</v>
      </c>
    </row>
    <row r="32" spans="2:8" x14ac:dyDescent="0.25">
      <c r="B32" s="20" t="s">
        <v>18</v>
      </c>
      <c r="C32" s="151">
        <v>14891.25</v>
      </c>
      <c r="D32" s="60">
        <v>31461.34</v>
      </c>
      <c r="E32" s="121">
        <v>24361.34</v>
      </c>
      <c r="F32" s="171">
        <v>29388.16</v>
      </c>
      <c r="G32" s="166">
        <f t="shared" si="8"/>
        <v>197.35186770754638</v>
      </c>
      <c r="H32" s="167">
        <f t="shared" si="10"/>
        <v>120.63441501986343</v>
      </c>
    </row>
    <row r="33" spans="2:8" x14ac:dyDescent="0.25">
      <c r="B33" s="116" t="s">
        <v>215</v>
      </c>
      <c r="C33" s="64">
        <f>+C34+C35+C36</f>
        <v>314927.2</v>
      </c>
      <c r="D33" s="64">
        <f>+D34+D35+D36</f>
        <v>214602.4</v>
      </c>
      <c r="E33" s="123">
        <f>+E34+E35+E36</f>
        <v>391308.84</v>
      </c>
      <c r="F33" s="169">
        <f>+F34+F35+F36</f>
        <v>384421.5</v>
      </c>
      <c r="G33" s="164">
        <f t="shared" si="8"/>
        <v>122.06678241828588</v>
      </c>
      <c r="H33" s="165">
        <f t="shared" si="10"/>
        <v>98.239922205693077</v>
      </c>
    </row>
    <row r="34" spans="2:8" ht="25.5" x14ac:dyDescent="0.25">
      <c r="B34" s="20" t="s">
        <v>152</v>
      </c>
      <c r="C34" s="151">
        <v>5865</v>
      </c>
      <c r="D34" s="60">
        <v>10702.5</v>
      </c>
      <c r="E34" s="121">
        <v>8666.36</v>
      </c>
      <c r="F34" s="171">
        <v>10550</v>
      </c>
      <c r="G34" s="166">
        <f t="shared" si="8"/>
        <v>179.88064791133843</v>
      </c>
      <c r="H34" s="167">
        <f t="shared" si="10"/>
        <v>121.73507677963988</v>
      </c>
    </row>
    <row r="35" spans="2:8" x14ac:dyDescent="0.25">
      <c r="B35" s="20" t="s">
        <v>153</v>
      </c>
      <c r="C35" s="151">
        <v>14336.94</v>
      </c>
      <c r="D35" s="60">
        <v>50092.22</v>
      </c>
      <c r="E35" s="121">
        <v>27314.35</v>
      </c>
      <c r="F35" s="171">
        <v>11820.19</v>
      </c>
      <c r="G35" s="166">
        <f t="shared" si="8"/>
        <v>82.44569622248541</v>
      </c>
      <c r="H35" s="167">
        <f t="shared" si="10"/>
        <v>43.274652334761768</v>
      </c>
    </row>
    <row r="36" spans="2:8" x14ac:dyDescent="0.25">
      <c r="B36" s="20" t="s">
        <v>154</v>
      </c>
      <c r="C36" s="151">
        <v>294725.26</v>
      </c>
      <c r="D36" s="60">
        <v>153807.67999999999</v>
      </c>
      <c r="E36" s="121">
        <v>355328.13</v>
      </c>
      <c r="F36" s="171">
        <v>362051.31</v>
      </c>
      <c r="G36" s="166">
        <f t="shared" si="8"/>
        <v>122.84366463872149</v>
      </c>
      <c r="H36" s="167">
        <f t="shared" si="10"/>
        <v>101.89210463016254</v>
      </c>
    </row>
    <row r="37" spans="2:8" x14ac:dyDescent="0.25">
      <c r="B37" s="126" t="s">
        <v>218</v>
      </c>
      <c r="C37" s="64">
        <f>+C38+C39+C40</f>
        <v>1225157.05</v>
      </c>
      <c r="D37" s="64">
        <f>+D38+D39+D40</f>
        <v>1044193.86</v>
      </c>
      <c r="E37" s="123">
        <f>+E38+E39+E40</f>
        <v>1279861.8899999999</v>
      </c>
      <c r="F37" s="169">
        <f>+F38+F39+F40</f>
        <v>1449944.26</v>
      </c>
      <c r="G37" s="164">
        <f t="shared" si="8"/>
        <v>118.34762408623449</v>
      </c>
      <c r="H37" s="165">
        <f t="shared" si="10"/>
        <v>113.28911903142924</v>
      </c>
    </row>
    <row r="38" spans="2:8" x14ac:dyDescent="0.25">
      <c r="B38" s="20" t="s">
        <v>155</v>
      </c>
      <c r="C38" s="60">
        <v>1215762.18</v>
      </c>
      <c r="D38" s="60">
        <v>1040518.86</v>
      </c>
      <c r="E38" s="121">
        <v>1273361.8899999999</v>
      </c>
      <c r="F38" s="168">
        <v>1439489.44</v>
      </c>
      <c r="G38" s="166">
        <f t="shared" si="8"/>
        <v>118.40222238201225</v>
      </c>
      <c r="H38" s="167">
        <f t="shared" si="10"/>
        <v>113.04637364323821</v>
      </c>
    </row>
    <row r="39" spans="2:8" x14ac:dyDescent="0.25">
      <c r="B39" s="20" t="s">
        <v>156</v>
      </c>
      <c r="C39" s="60">
        <v>9394.8700000000008</v>
      </c>
      <c r="D39" s="60">
        <v>2500</v>
      </c>
      <c r="E39" s="121">
        <v>6500</v>
      </c>
      <c r="F39" s="171">
        <v>10454.82</v>
      </c>
      <c r="G39" s="166">
        <v>0</v>
      </c>
      <c r="H39" s="167">
        <f t="shared" si="10"/>
        <v>160.84338461538462</v>
      </c>
    </row>
    <row r="40" spans="2:8" x14ac:dyDescent="0.25">
      <c r="B40" s="20" t="s">
        <v>157</v>
      </c>
      <c r="C40" s="60">
        <v>0</v>
      </c>
      <c r="D40" s="60">
        <v>1175</v>
      </c>
      <c r="E40" s="121">
        <v>0</v>
      </c>
      <c r="F40" s="171">
        <v>0</v>
      </c>
      <c r="G40" s="166">
        <v>0</v>
      </c>
      <c r="H40" s="167">
        <v>0</v>
      </c>
    </row>
    <row r="41" spans="2:8" x14ac:dyDescent="0.25">
      <c r="B41" s="105" t="s">
        <v>161</v>
      </c>
      <c r="C41" s="64">
        <f>+C42</f>
        <v>2631.34</v>
      </c>
      <c r="D41" s="64">
        <f t="shared" ref="D41" si="11">+D42</f>
        <v>3300</v>
      </c>
      <c r="E41" s="64">
        <f t="shared" ref="E41:F41" si="12">+E42</f>
        <v>10500</v>
      </c>
      <c r="F41" s="119">
        <f t="shared" si="12"/>
        <v>14810</v>
      </c>
      <c r="G41" s="164">
        <f t="shared" si="8"/>
        <v>562.83110506433979</v>
      </c>
      <c r="H41" s="165">
        <f t="shared" si="10"/>
        <v>141.04761904761904</v>
      </c>
    </row>
    <row r="42" spans="2:8" x14ac:dyDescent="0.25">
      <c r="B42" s="20" t="s">
        <v>158</v>
      </c>
      <c r="C42" s="60">
        <v>2631.34</v>
      </c>
      <c r="D42" s="60">
        <v>3300</v>
      </c>
      <c r="E42" s="121">
        <v>10500</v>
      </c>
      <c r="F42" s="171">
        <v>14810</v>
      </c>
      <c r="G42" s="166">
        <f t="shared" si="8"/>
        <v>562.83110506433979</v>
      </c>
      <c r="H42" s="167">
        <f t="shared" si="10"/>
        <v>141.04761904761904</v>
      </c>
    </row>
    <row r="43" spans="2:8" ht="30" x14ac:dyDescent="0.25">
      <c r="B43" s="105" t="s">
        <v>160</v>
      </c>
      <c r="C43" s="64">
        <f>+C44</f>
        <v>8275</v>
      </c>
      <c r="D43" s="64">
        <f>+D44</f>
        <v>185811.93</v>
      </c>
      <c r="E43" s="123">
        <f>+E44</f>
        <v>0</v>
      </c>
      <c r="F43" s="169">
        <f>+F44</f>
        <v>0</v>
      </c>
      <c r="G43" s="164">
        <v>0</v>
      </c>
      <c r="H43" s="167">
        <v>0</v>
      </c>
    </row>
    <row r="44" spans="2:8" x14ac:dyDescent="0.25">
      <c r="B44" s="20" t="s">
        <v>159</v>
      </c>
      <c r="C44" s="60">
        <v>8275</v>
      </c>
      <c r="D44" s="60">
        <v>185811.93</v>
      </c>
      <c r="E44" s="121">
        <v>0</v>
      </c>
      <c r="F44" s="168">
        <v>0</v>
      </c>
      <c r="G44" s="164">
        <v>0</v>
      </c>
      <c r="H44" s="167">
        <v>0</v>
      </c>
    </row>
  </sheetData>
  <mergeCells count="1">
    <mergeCell ref="B2:H2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12"/>
  <sheetViews>
    <sheetView workbookViewId="0">
      <selection activeCell="F7" sqref="F7"/>
    </sheetView>
  </sheetViews>
  <sheetFormatPr defaultRowHeight="15" x14ac:dyDescent="0.25"/>
  <cols>
    <col min="2" max="2" width="37.7109375" customWidth="1"/>
    <col min="3" max="3" width="25.140625" customWidth="1"/>
    <col min="4" max="4" width="25.28515625" hidden="1" customWidth="1"/>
    <col min="5" max="5" width="25.28515625" customWidth="1"/>
    <col min="6" max="6" width="22" customWidth="1"/>
    <col min="7" max="7" width="13.7109375" customWidth="1"/>
    <col min="8" max="8" width="15.7109375" customWidth="1"/>
  </cols>
  <sheetData>
    <row r="1" spans="2:8" ht="18" x14ac:dyDescent="0.25">
      <c r="B1" s="13"/>
      <c r="C1" s="13"/>
      <c r="D1" s="13"/>
      <c r="E1" s="13"/>
      <c r="F1" s="4"/>
      <c r="G1" s="4"/>
      <c r="H1" s="4"/>
    </row>
    <row r="2" spans="2:8" ht="15.75" customHeight="1" x14ac:dyDescent="0.25">
      <c r="B2" s="218" t="s">
        <v>38</v>
      </c>
      <c r="C2" s="218"/>
      <c r="D2" s="218"/>
      <c r="E2" s="218"/>
      <c r="F2" s="218"/>
      <c r="G2" s="218"/>
      <c r="H2" s="218"/>
    </row>
    <row r="3" spans="2:8" ht="18" x14ac:dyDescent="0.25">
      <c r="B3" s="44"/>
      <c r="C3" s="44"/>
      <c r="D3" s="44"/>
      <c r="E3" s="44"/>
      <c r="F3" s="45"/>
      <c r="G3" s="45"/>
      <c r="H3" s="45"/>
    </row>
    <row r="4" spans="2:8" ht="25.5" x14ac:dyDescent="0.25">
      <c r="B4" s="32" t="s">
        <v>7</v>
      </c>
      <c r="C4" s="32" t="s">
        <v>225</v>
      </c>
      <c r="D4" s="32" t="s">
        <v>230</v>
      </c>
      <c r="E4" s="32" t="s">
        <v>254</v>
      </c>
      <c r="F4" s="32" t="s">
        <v>255</v>
      </c>
      <c r="G4" s="32" t="s">
        <v>21</v>
      </c>
      <c r="H4" s="32" t="s">
        <v>43</v>
      </c>
    </row>
    <row r="5" spans="2:8" x14ac:dyDescent="0.25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34</v>
      </c>
      <c r="H5" s="34" t="s">
        <v>35</v>
      </c>
    </row>
    <row r="6" spans="2:8" ht="15.75" customHeight="1" x14ac:dyDescent="0.25">
      <c r="B6" s="5" t="s">
        <v>41</v>
      </c>
      <c r="C6" s="64">
        <f>+C7</f>
        <v>1643788.7</v>
      </c>
      <c r="D6" s="64">
        <f t="shared" ref="D6:E6" si="0">+D7</f>
        <v>1479369.53</v>
      </c>
      <c r="E6" s="64">
        <f t="shared" si="0"/>
        <v>2146647.13</v>
      </c>
      <c r="F6" s="64">
        <v>2310822.41</v>
      </c>
      <c r="G6" s="124">
        <f>(F6/C6)*100</f>
        <v>140.57904218467982</v>
      </c>
      <c r="H6" s="124">
        <f>(F6/E6)*100</f>
        <v>107.64798637398781</v>
      </c>
    </row>
    <row r="7" spans="2:8" ht="15.75" customHeight="1" x14ac:dyDescent="0.25">
      <c r="B7" s="5" t="s">
        <v>216</v>
      </c>
      <c r="C7" s="64">
        <f>+C8</f>
        <v>1643788.7</v>
      </c>
      <c r="D7" s="64">
        <f t="shared" ref="D7:F7" si="1">+D8</f>
        <v>1479369.53</v>
      </c>
      <c r="E7" s="64">
        <f t="shared" si="1"/>
        <v>2146647.13</v>
      </c>
      <c r="F7" s="64">
        <f t="shared" si="1"/>
        <v>2310822.41</v>
      </c>
      <c r="G7" s="124">
        <f t="shared" ref="G7:G8" si="2">(F7/C7)*100</f>
        <v>140.57904218467982</v>
      </c>
      <c r="H7" s="124">
        <f t="shared" ref="H7:H8" si="3">(F7/E7)*100</f>
        <v>107.64798637398781</v>
      </c>
    </row>
    <row r="8" spans="2:8" x14ac:dyDescent="0.25">
      <c r="B8" s="12" t="s">
        <v>217</v>
      </c>
      <c r="C8" s="151">
        <v>1643788.7</v>
      </c>
      <c r="D8" s="151">
        <v>1479369.53</v>
      </c>
      <c r="E8" s="151">
        <v>2146647.13</v>
      </c>
      <c r="F8" s="156">
        <v>2310822.41</v>
      </c>
      <c r="G8" s="125">
        <f t="shared" si="2"/>
        <v>140.57904218467982</v>
      </c>
      <c r="H8" s="125">
        <f t="shared" si="3"/>
        <v>107.64798637398781</v>
      </c>
    </row>
    <row r="10" spans="2:8" x14ac:dyDescent="0.25">
      <c r="B10" s="27"/>
      <c r="C10" s="27"/>
      <c r="D10" s="27"/>
      <c r="E10" s="27"/>
      <c r="F10" s="27"/>
      <c r="G10" s="27"/>
      <c r="H10" s="27"/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</sheetData>
  <mergeCells count="1">
    <mergeCell ref="B2:H2"/>
  </mergeCells>
  <pageMargins left="0.7" right="0.7" top="0.75" bottom="0.75" header="0.3" footer="0.3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44"/>
  <sheetViews>
    <sheetView tabSelected="1" topLeftCell="B235" zoomScale="98" zoomScaleNormal="98" workbookViewId="0">
      <selection activeCell="F6" sqref="F6"/>
    </sheetView>
  </sheetViews>
  <sheetFormatPr defaultRowHeight="15" x14ac:dyDescent="0.25"/>
  <cols>
    <col min="2" max="2" width="6.28515625" bestFit="1" customWidth="1"/>
    <col min="3" max="3" width="5.140625" bestFit="1" customWidth="1"/>
    <col min="4" max="4" width="6" bestFit="1" customWidth="1"/>
    <col min="5" max="5" width="39" customWidth="1"/>
    <col min="6" max="6" width="18.7109375" style="61" bestFit="1" customWidth="1"/>
    <col min="7" max="7" width="15.85546875" style="61" bestFit="1" customWidth="1"/>
    <col min="8" max="8" width="13.140625" style="61" bestFit="1" customWidth="1"/>
    <col min="9" max="9" width="24.28515625" customWidth="1"/>
  </cols>
  <sheetData>
    <row r="1" spans="2:12" ht="18" x14ac:dyDescent="0.25">
      <c r="B1" s="3"/>
      <c r="C1" s="3"/>
      <c r="D1" s="3"/>
      <c r="E1" s="3"/>
      <c r="F1" s="53"/>
      <c r="G1" s="53"/>
      <c r="H1" s="54"/>
      <c r="I1" s="4"/>
    </row>
    <row r="2" spans="2:12" ht="18" customHeight="1" x14ac:dyDescent="0.25">
      <c r="B2" s="218" t="s">
        <v>9</v>
      </c>
      <c r="C2" s="218"/>
      <c r="D2" s="218"/>
      <c r="E2" s="218"/>
      <c r="F2" s="218"/>
      <c r="G2" s="218"/>
      <c r="H2" s="218"/>
      <c r="I2" s="22"/>
    </row>
    <row r="3" spans="2:12" ht="18" x14ac:dyDescent="0.25">
      <c r="B3" s="44"/>
      <c r="C3" s="44"/>
      <c r="D3" s="44"/>
      <c r="E3" s="44"/>
      <c r="F3" s="55"/>
      <c r="G3" s="55"/>
      <c r="H3" s="56"/>
      <c r="I3" s="4"/>
    </row>
    <row r="4" spans="2:12" ht="15.75" x14ac:dyDescent="0.25">
      <c r="B4" s="261" t="s">
        <v>47</v>
      </c>
      <c r="C4" s="261"/>
      <c r="D4" s="261"/>
      <c r="E4" s="261"/>
      <c r="F4" s="261"/>
      <c r="G4" s="261"/>
      <c r="H4" s="261"/>
    </row>
    <row r="5" spans="2:12" ht="18" x14ac:dyDescent="0.25">
      <c r="B5" s="44"/>
      <c r="C5" s="44"/>
      <c r="D5" s="44"/>
      <c r="E5" s="44"/>
      <c r="F5" s="55"/>
      <c r="G5" s="55"/>
      <c r="H5" s="56"/>
    </row>
    <row r="6" spans="2:12" ht="51" x14ac:dyDescent="0.25">
      <c r="B6" s="243" t="s">
        <v>7</v>
      </c>
      <c r="C6" s="244"/>
      <c r="D6" s="244"/>
      <c r="E6" s="245"/>
      <c r="F6" s="57" t="s">
        <v>233</v>
      </c>
      <c r="G6" s="57" t="s">
        <v>232</v>
      </c>
      <c r="H6" s="57" t="s">
        <v>43</v>
      </c>
    </row>
    <row r="7" spans="2:12" s="35" customFormat="1" ht="11.25" x14ac:dyDescent="0.2">
      <c r="B7" s="246">
        <v>1</v>
      </c>
      <c r="C7" s="247"/>
      <c r="D7" s="247"/>
      <c r="E7" s="248"/>
      <c r="F7" s="34">
        <v>3</v>
      </c>
      <c r="G7" s="34">
        <v>4</v>
      </c>
      <c r="H7" s="58" t="s">
        <v>39</v>
      </c>
    </row>
    <row r="8" spans="2:12" ht="30" customHeight="1" x14ac:dyDescent="0.25">
      <c r="B8" s="254">
        <v>18065</v>
      </c>
      <c r="C8" s="255"/>
      <c r="D8" s="256"/>
      <c r="E8" s="79" t="s">
        <v>58</v>
      </c>
      <c r="F8" s="60"/>
      <c r="G8" s="60"/>
      <c r="H8" s="60"/>
    </row>
    <row r="9" spans="2:12" ht="30" customHeight="1" x14ac:dyDescent="0.25">
      <c r="B9" s="120"/>
      <c r="C9" s="102"/>
      <c r="D9" s="99"/>
      <c r="E9" s="100" t="s">
        <v>69</v>
      </c>
      <c r="F9" s="155">
        <f>+F10+F11+F12+F13+F14+F15+F16+F17+F18+F19+F20</f>
        <v>2146647.13</v>
      </c>
      <c r="G9" s="101">
        <v>2191798.21</v>
      </c>
      <c r="H9" s="101">
        <f>(G9/F9)*100</f>
        <v>102.10333032238978</v>
      </c>
    </row>
    <row r="10" spans="2:12" ht="30" customHeight="1" x14ac:dyDescent="0.25">
      <c r="B10" s="257">
        <v>11</v>
      </c>
      <c r="C10" s="258"/>
      <c r="D10" s="259"/>
      <c r="E10" s="37" t="s">
        <v>59</v>
      </c>
      <c r="F10" s="60">
        <v>88531.39</v>
      </c>
      <c r="G10" s="60">
        <v>88520.08</v>
      </c>
      <c r="H10" s="60">
        <f>(G10/F10)*100</f>
        <v>99.987224870184463</v>
      </c>
    </row>
    <row r="11" spans="2:12" ht="30" customHeight="1" x14ac:dyDescent="0.25">
      <c r="B11" s="260">
        <v>12</v>
      </c>
      <c r="C11" s="260"/>
      <c r="D11" s="260"/>
      <c r="E11" s="37" t="s">
        <v>60</v>
      </c>
      <c r="F11" s="60">
        <v>351773.67</v>
      </c>
      <c r="G11" s="60">
        <v>342086.17</v>
      </c>
      <c r="H11" s="60">
        <f t="shared" ref="H11:H21" si="0">(G11/F11)*100</f>
        <v>97.246098606527326</v>
      </c>
    </row>
    <row r="12" spans="2:12" ht="30" customHeight="1" x14ac:dyDescent="0.25">
      <c r="B12" s="257">
        <v>31</v>
      </c>
      <c r="C12" s="258"/>
      <c r="D12" s="259"/>
      <c r="E12" s="36" t="s">
        <v>61</v>
      </c>
      <c r="F12" s="60">
        <v>24361.34</v>
      </c>
      <c r="G12" s="60">
        <v>29388.16</v>
      </c>
      <c r="H12" s="60">
        <f t="shared" si="0"/>
        <v>120.63441501986343</v>
      </c>
    </row>
    <row r="13" spans="2:12" ht="30" customHeight="1" x14ac:dyDescent="0.25">
      <c r="B13" s="47">
        <v>41</v>
      </c>
      <c r="C13" s="48"/>
      <c r="D13" s="49"/>
      <c r="E13" s="49" t="s">
        <v>62</v>
      </c>
      <c r="F13" s="60">
        <v>8666.36</v>
      </c>
      <c r="G13" s="60">
        <v>10550</v>
      </c>
      <c r="H13" s="60">
        <f t="shared" si="0"/>
        <v>121.73507677963988</v>
      </c>
    </row>
    <row r="14" spans="2:12" ht="30" customHeight="1" x14ac:dyDescent="0.25">
      <c r="B14" s="47">
        <v>42</v>
      </c>
      <c r="C14" s="48"/>
      <c r="D14" s="49"/>
      <c r="E14" s="113" t="s">
        <v>63</v>
      </c>
      <c r="F14" s="60">
        <v>27314.35</v>
      </c>
      <c r="G14" s="60">
        <v>11820.19</v>
      </c>
      <c r="H14" s="60">
        <f t="shared" si="0"/>
        <v>43.274652334761768</v>
      </c>
      <c r="L14" t="s">
        <v>223</v>
      </c>
    </row>
    <row r="15" spans="2:12" ht="30" customHeight="1" x14ac:dyDescent="0.25">
      <c r="B15" s="47">
        <v>45</v>
      </c>
      <c r="C15" s="48"/>
      <c r="D15" s="49"/>
      <c r="E15" s="49" t="s">
        <v>64</v>
      </c>
      <c r="F15" s="60">
        <v>355338.13</v>
      </c>
      <c r="G15" s="60">
        <v>355338.13</v>
      </c>
      <c r="H15" s="60">
        <f t="shared" si="0"/>
        <v>100</v>
      </c>
    </row>
    <row r="16" spans="2:12" ht="30" customHeight="1" x14ac:dyDescent="0.25">
      <c r="B16" s="47">
        <v>51</v>
      </c>
      <c r="C16" s="48"/>
      <c r="D16" s="49"/>
      <c r="E16" s="49" t="s">
        <v>65</v>
      </c>
      <c r="F16" s="60">
        <v>1273361.8899999999</v>
      </c>
      <c r="G16" s="60">
        <v>1329877.21</v>
      </c>
      <c r="H16" s="60">
        <f t="shared" si="0"/>
        <v>104.43827638033049</v>
      </c>
    </row>
    <row r="17" spans="2:8" ht="30" customHeight="1" x14ac:dyDescent="0.25">
      <c r="B17" s="47">
        <v>53</v>
      </c>
      <c r="C17" s="48"/>
      <c r="D17" s="49"/>
      <c r="E17" s="49" t="s">
        <v>66</v>
      </c>
      <c r="F17" s="60">
        <v>6500</v>
      </c>
      <c r="G17" s="60">
        <v>10454.82</v>
      </c>
      <c r="H17" s="60">
        <f t="shared" si="0"/>
        <v>160.84338461538462</v>
      </c>
    </row>
    <row r="18" spans="2:8" ht="30" customHeight="1" x14ac:dyDescent="0.25">
      <c r="B18" s="47">
        <v>54</v>
      </c>
      <c r="C18" s="48"/>
      <c r="D18" s="49"/>
      <c r="E18" s="49" t="s">
        <v>67</v>
      </c>
      <c r="F18" s="60">
        <v>0</v>
      </c>
      <c r="G18" s="60">
        <v>0</v>
      </c>
      <c r="H18" s="60">
        <v>0</v>
      </c>
    </row>
    <row r="19" spans="2:8" ht="30" customHeight="1" x14ac:dyDescent="0.25">
      <c r="B19" s="47">
        <v>61</v>
      </c>
      <c r="C19" s="48"/>
      <c r="D19" s="49"/>
      <c r="E19" s="49" t="s">
        <v>68</v>
      </c>
      <c r="F19" s="60">
        <v>10800</v>
      </c>
      <c r="G19" s="60">
        <v>13764.76</v>
      </c>
      <c r="H19" s="60">
        <f t="shared" si="0"/>
        <v>127.45148148148149</v>
      </c>
    </row>
    <row r="20" spans="2:8" ht="30" customHeight="1" x14ac:dyDescent="0.25">
      <c r="B20" s="47">
        <v>81</v>
      </c>
      <c r="C20" s="48"/>
      <c r="D20" s="49"/>
      <c r="E20" s="49" t="s">
        <v>8</v>
      </c>
      <c r="F20" s="60">
        <v>0</v>
      </c>
      <c r="G20" s="60">
        <v>0</v>
      </c>
      <c r="H20" s="60">
        <v>0</v>
      </c>
    </row>
    <row r="21" spans="2:8" ht="30" customHeight="1" x14ac:dyDescent="0.25">
      <c r="B21" s="88" t="s">
        <v>70</v>
      </c>
      <c r="C21" s="89"/>
      <c r="D21" s="90"/>
      <c r="E21" s="90" t="s">
        <v>71</v>
      </c>
      <c r="F21" s="91">
        <v>1775930.19</v>
      </c>
      <c r="G21" s="91">
        <v>1950595.12</v>
      </c>
      <c r="H21" s="92">
        <f t="shared" si="0"/>
        <v>109.83512364300762</v>
      </c>
    </row>
    <row r="22" spans="2:8" ht="30" customHeight="1" x14ac:dyDescent="0.25">
      <c r="B22" s="251" t="s">
        <v>72</v>
      </c>
      <c r="C22" s="252"/>
      <c r="D22" s="253"/>
      <c r="E22" s="84" t="s">
        <v>73</v>
      </c>
      <c r="F22" s="86">
        <f>+F23</f>
        <v>130574.77000000002</v>
      </c>
      <c r="G22" s="86">
        <f>+G23</f>
        <v>138676.85999999999</v>
      </c>
      <c r="H22" s="86">
        <f>(G22/F22)*100</f>
        <v>106.20494296103296</v>
      </c>
    </row>
    <row r="23" spans="2:8" ht="30" customHeight="1" x14ac:dyDescent="0.25">
      <c r="B23" s="68">
        <v>45</v>
      </c>
      <c r="C23" s="51"/>
      <c r="D23" s="52"/>
      <c r="E23" s="73" t="s">
        <v>74</v>
      </c>
      <c r="F23" s="64">
        <f>+F24+F49</f>
        <v>130574.77000000002</v>
      </c>
      <c r="G23" s="64">
        <f>+G24+G49</f>
        <v>138676.85999999999</v>
      </c>
      <c r="H23" s="64">
        <f t="shared" ref="H23:H58" si="1">(G23/F23)*100</f>
        <v>106.20494296103296</v>
      </c>
    </row>
    <row r="24" spans="2:8" ht="30" customHeight="1" x14ac:dyDescent="0.25">
      <c r="B24" s="68"/>
      <c r="C24" s="69">
        <v>32</v>
      </c>
      <c r="D24" s="62"/>
      <c r="E24" s="73" t="s">
        <v>11</v>
      </c>
      <c r="F24" s="64">
        <f>+F25+F26+F27+F28+F29+F30+F31+F32+F33+F34+F35+F36+F37+F38+F39+F40+F41+F42+F43+F44+F45+F46+F47+F48</f>
        <v>130523.00000000001</v>
      </c>
      <c r="G24" s="64">
        <v>138623.10999999999</v>
      </c>
      <c r="H24" s="64">
        <f t="shared" si="1"/>
        <v>106.2058870850348</v>
      </c>
    </row>
    <row r="25" spans="2:8" ht="30" customHeight="1" x14ac:dyDescent="0.25">
      <c r="B25" s="50"/>
      <c r="C25" s="51"/>
      <c r="D25" s="52">
        <v>3211</v>
      </c>
      <c r="E25" s="37" t="s">
        <v>33</v>
      </c>
      <c r="F25" s="74">
        <v>6027.15</v>
      </c>
      <c r="G25" s="74">
        <v>6327.15</v>
      </c>
      <c r="H25" s="60">
        <f t="shared" si="1"/>
        <v>104.97747691695081</v>
      </c>
    </row>
    <row r="26" spans="2:8" ht="30" customHeight="1" x14ac:dyDescent="0.25">
      <c r="B26" s="50"/>
      <c r="C26" s="51"/>
      <c r="D26" s="52">
        <v>3212</v>
      </c>
      <c r="E26" s="36" t="s">
        <v>75</v>
      </c>
      <c r="F26" s="74">
        <v>36718.400000000001</v>
      </c>
      <c r="G26" s="74">
        <v>40007.339999999997</v>
      </c>
      <c r="H26" s="60">
        <f t="shared" si="1"/>
        <v>108.95719857074381</v>
      </c>
    </row>
    <row r="27" spans="2:8" ht="30" customHeight="1" x14ac:dyDescent="0.25">
      <c r="B27" s="50"/>
      <c r="C27" s="51"/>
      <c r="D27" s="52">
        <v>3213</v>
      </c>
      <c r="E27" s="36" t="s">
        <v>76</v>
      </c>
      <c r="F27" s="74">
        <v>210</v>
      </c>
      <c r="G27" s="74">
        <v>260</v>
      </c>
      <c r="H27" s="60">
        <f t="shared" si="1"/>
        <v>123.80952380952381</v>
      </c>
    </row>
    <row r="28" spans="2:8" ht="30" customHeight="1" x14ac:dyDescent="0.25">
      <c r="B28" s="50"/>
      <c r="C28" s="51"/>
      <c r="D28" s="52">
        <v>3214</v>
      </c>
      <c r="E28" s="52" t="s">
        <v>77</v>
      </c>
      <c r="F28" s="74">
        <v>682.5</v>
      </c>
      <c r="G28" s="74">
        <v>682.5</v>
      </c>
      <c r="H28" s="60">
        <f t="shared" si="1"/>
        <v>100</v>
      </c>
    </row>
    <row r="29" spans="2:8" ht="30" customHeight="1" x14ac:dyDescent="0.25">
      <c r="B29" s="50"/>
      <c r="C29" s="51"/>
      <c r="D29" s="52">
        <v>3221</v>
      </c>
      <c r="E29" s="52" t="s">
        <v>78</v>
      </c>
      <c r="F29" s="74">
        <v>6140.15</v>
      </c>
      <c r="G29" s="74">
        <v>6474.52</v>
      </c>
      <c r="H29" s="60">
        <f t="shared" si="1"/>
        <v>105.4456324356897</v>
      </c>
    </row>
    <row r="30" spans="2:8" ht="30" customHeight="1" x14ac:dyDescent="0.25">
      <c r="B30" s="50"/>
      <c r="C30" s="51"/>
      <c r="D30" s="52">
        <v>3222</v>
      </c>
      <c r="E30" s="52" t="s">
        <v>79</v>
      </c>
      <c r="F30" s="74">
        <v>7040.85</v>
      </c>
      <c r="G30" s="76">
        <v>7126.73</v>
      </c>
      <c r="H30" s="60">
        <f t="shared" si="1"/>
        <v>101.21973909400141</v>
      </c>
    </row>
    <row r="31" spans="2:8" ht="30" customHeight="1" x14ac:dyDescent="0.25">
      <c r="B31" s="50"/>
      <c r="C31" s="51"/>
      <c r="D31" s="52">
        <v>3223</v>
      </c>
      <c r="E31" s="52" t="s">
        <v>80</v>
      </c>
      <c r="F31" s="75">
        <v>22878.9</v>
      </c>
      <c r="G31" s="75">
        <v>25568.99</v>
      </c>
      <c r="H31" s="60">
        <f t="shared" si="1"/>
        <v>111.75795164977337</v>
      </c>
    </row>
    <row r="32" spans="2:8" ht="30" customHeight="1" x14ac:dyDescent="0.25">
      <c r="B32" s="50"/>
      <c r="C32" s="51"/>
      <c r="D32" s="52">
        <v>3224</v>
      </c>
      <c r="E32" s="52" t="s">
        <v>81</v>
      </c>
      <c r="F32" s="75">
        <v>2456.96</v>
      </c>
      <c r="G32" s="75">
        <v>2933.3</v>
      </c>
      <c r="H32" s="60">
        <f t="shared" si="1"/>
        <v>119.38737301380569</v>
      </c>
    </row>
    <row r="33" spans="2:8" ht="30" customHeight="1" x14ac:dyDescent="0.25">
      <c r="B33" s="50"/>
      <c r="C33" s="51"/>
      <c r="D33" s="52">
        <v>3225</v>
      </c>
      <c r="E33" s="52" t="s">
        <v>82</v>
      </c>
      <c r="F33" s="74">
        <v>171</v>
      </c>
      <c r="G33" s="74">
        <v>171</v>
      </c>
      <c r="H33" s="60">
        <f t="shared" si="1"/>
        <v>100</v>
      </c>
    </row>
    <row r="34" spans="2:8" ht="30" customHeight="1" x14ac:dyDescent="0.25">
      <c r="B34" s="50"/>
      <c r="C34" s="51"/>
      <c r="D34" s="52">
        <v>3227</v>
      </c>
      <c r="E34" s="52" t="s">
        <v>83</v>
      </c>
      <c r="F34" s="74">
        <v>586.86</v>
      </c>
      <c r="G34" s="74">
        <v>586.86</v>
      </c>
      <c r="H34" s="60">
        <f t="shared" si="1"/>
        <v>100</v>
      </c>
    </row>
    <row r="35" spans="2:8" ht="30" customHeight="1" x14ac:dyDescent="0.25">
      <c r="B35" s="50"/>
      <c r="C35" s="51"/>
      <c r="D35" s="52">
        <v>3231</v>
      </c>
      <c r="E35" s="52" t="s">
        <v>84</v>
      </c>
      <c r="F35" s="74">
        <v>866.08</v>
      </c>
      <c r="G35" s="74">
        <v>930.83</v>
      </c>
      <c r="H35" s="60">
        <f t="shared" si="1"/>
        <v>107.4762146683909</v>
      </c>
    </row>
    <row r="36" spans="2:8" ht="30" customHeight="1" x14ac:dyDescent="0.25">
      <c r="B36" s="50"/>
      <c r="C36" s="51"/>
      <c r="D36" s="52">
        <v>3232</v>
      </c>
      <c r="E36" s="52" t="s">
        <v>85</v>
      </c>
      <c r="F36" s="74">
        <v>12001.46</v>
      </c>
      <c r="G36" s="74">
        <v>12001.46</v>
      </c>
      <c r="H36" s="60">
        <f t="shared" si="1"/>
        <v>100</v>
      </c>
    </row>
    <row r="37" spans="2:8" ht="30" customHeight="1" x14ac:dyDescent="0.25">
      <c r="B37" s="50"/>
      <c r="C37" s="51"/>
      <c r="D37" s="52">
        <v>3233</v>
      </c>
      <c r="E37" s="52" t="s">
        <v>86</v>
      </c>
      <c r="F37" s="74">
        <v>0</v>
      </c>
      <c r="G37" s="74">
        <v>0</v>
      </c>
      <c r="H37" s="60" t="e">
        <f t="shared" si="1"/>
        <v>#DIV/0!</v>
      </c>
    </row>
    <row r="38" spans="2:8" ht="30" customHeight="1" x14ac:dyDescent="0.25">
      <c r="B38" s="50"/>
      <c r="C38" s="51"/>
      <c r="D38" s="52">
        <v>3234</v>
      </c>
      <c r="E38" s="52" t="s">
        <v>87</v>
      </c>
      <c r="F38" s="74">
        <v>22751.51</v>
      </c>
      <c r="G38" s="74">
        <v>22751.51</v>
      </c>
      <c r="H38" s="60">
        <f t="shared" si="1"/>
        <v>100</v>
      </c>
    </row>
    <row r="39" spans="2:8" ht="30" customHeight="1" x14ac:dyDescent="0.25">
      <c r="B39" s="50"/>
      <c r="C39" s="51"/>
      <c r="D39" s="52">
        <v>3235</v>
      </c>
      <c r="E39" s="52" t="s">
        <v>88</v>
      </c>
      <c r="F39" s="74">
        <v>1847.51</v>
      </c>
      <c r="G39" s="74">
        <v>1948.23</v>
      </c>
      <c r="H39" s="60">
        <f t="shared" si="1"/>
        <v>105.45166196664699</v>
      </c>
    </row>
    <row r="40" spans="2:8" ht="30" customHeight="1" x14ac:dyDescent="0.25">
      <c r="B40" s="50"/>
      <c r="C40" s="51"/>
      <c r="D40" s="52">
        <v>3236</v>
      </c>
      <c r="E40" s="52" t="s">
        <v>89</v>
      </c>
      <c r="F40" s="74">
        <v>3270</v>
      </c>
      <c r="G40" s="74">
        <v>3270</v>
      </c>
      <c r="H40" s="60">
        <f t="shared" si="1"/>
        <v>100</v>
      </c>
    </row>
    <row r="41" spans="2:8" ht="30" customHeight="1" x14ac:dyDescent="0.25">
      <c r="B41" s="50"/>
      <c r="C41" s="51"/>
      <c r="D41" s="52">
        <v>3237</v>
      </c>
      <c r="E41" s="52" t="s">
        <v>90</v>
      </c>
      <c r="F41" s="74">
        <v>761.54</v>
      </c>
      <c r="G41" s="74">
        <v>2182.86</v>
      </c>
      <c r="H41" s="60">
        <f t="shared" si="1"/>
        <v>286.63760275231766</v>
      </c>
    </row>
    <row r="42" spans="2:8" ht="30" customHeight="1" x14ac:dyDescent="0.25">
      <c r="B42" s="50"/>
      <c r="C42" s="51"/>
      <c r="D42" s="52">
        <v>3238</v>
      </c>
      <c r="E42" s="52" t="s">
        <v>91</v>
      </c>
      <c r="F42" s="74">
        <v>4415.17</v>
      </c>
      <c r="G42" s="74">
        <v>4444.21</v>
      </c>
      <c r="H42" s="60">
        <f t="shared" si="1"/>
        <v>100.65773231834787</v>
      </c>
    </row>
    <row r="43" spans="2:8" ht="30" customHeight="1" x14ac:dyDescent="0.25">
      <c r="B43" s="50"/>
      <c r="C43" s="51"/>
      <c r="D43" s="52">
        <v>3239</v>
      </c>
      <c r="E43" s="52" t="s">
        <v>92</v>
      </c>
      <c r="F43" s="74">
        <v>276.20999999999998</v>
      </c>
      <c r="G43" s="74">
        <v>441.84</v>
      </c>
      <c r="H43" s="60">
        <f t="shared" si="1"/>
        <v>159.96524383621158</v>
      </c>
    </row>
    <row r="44" spans="2:8" ht="30" customHeight="1" x14ac:dyDescent="0.25">
      <c r="B44" s="50"/>
      <c r="C44" s="51"/>
      <c r="D44" s="52">
        <v>3292</v>
      </c>
      <c r="E44" s="52" t="s">
        <v>93</v>
      </c>
      <c r="F44" s="74">
        <v>497.65</v>
      </c>
      <c r="G44" s="74">
        <v>497.65</v>
      </c>
      <c r="H44" s="60">
        <f t="shared" si="1"/>
        <v>100</v>
      </c>
    </row>
    <row r="45" spans="2:8" ht="30" customHeight="1" x14ac:dyDescent="0.25">
      <c r="B45" s="50"/>
      <c r="C45" s="51"/>
      <c r="D45" s="52">
        <v>3293</v>
      </c>
      <c r="E45" s="52" t="s">
        <v>94</v>
      </c>
      <c r="F45" s="74">
        <v>0</v>
      </c>
      <c r="G45" s="74">
        <v>0</v>
      </c>
      <c r="H45" s="60">
        <v>0</v>
      </c>
    </row>
    <row r="46" spans="2:8" ht="30" customHeight="1" x14ac:dyDescent="0.25">
      <c r="B46" s="50"/>
      <c r="C46" s="51"/>
      <c r="D46" s="52">
        <v>3294</v>
      </c>
      <c r="E46" s="52" t="s">
        <v>95</v>
      </c>
      <c r="F46" s="74">
        <v>40</v>
      </c>
      <c r="G46" s="74">
        <v>40</v>
      </c>
      <c r="H46" s="60">
        <f t="shared" si="1"/>
        <v>100</v>
      </c>
    </row>
    <row r="47" spans="2:8" ht="30" customHeight="1" x14ac:dyDescent="0.25">
      <c r="B47" s="50"/>
      <c r="C47" s="51"/>
      <c r="D47" s="52">
        <v>3295</v>
      </c>
      <c r="E47" s="52" t="s">
        <v>96</v>
      </c>
      <c r="F47" s="74">
        <v>43.24</v>
      </c>
      <c r="G47" s="74">
        <v>43.24</v>
      </c>
      <c r="H47" s="60">
        <f t="shared" si="1"/>
        <v>100</v>
      </c>
    </row>
    <row r="48" spans="2:8" ht="30" customHeight="1" x14ac:dyDescent="0.25">
      <c r="B48" s="50"/>
      <c r="C48" s="51"/>
      <c r="D48" s="52">
        <v>3299</v>
      </c>
      <c r="E48" s="52" t="s">
        <v>97</v>
      </c>
      <c r="F48" s="74">
        <v>839.86</v>
      </c>
      <c r="G48" s="74">
        <v>839.86</v>
      </c>
      <c r="H48" s="60">
        <f t="shared" si="1"/>
        <v>100</v>
      </c>
    </row>
    <row r="49" spans="2:8" ht="30" customHeight="1" x14ac:dyDescent="0.25">
      <c r="B49" s="50"/>
      <c r="C49" s="69">
        <v>34</v>
      </c>
      <c r="D49" s="62"/>
      <c r="E49" s="62" t="s">
        <v>98</v>
      </c>
      <c r="F49" s="64">
        <f>+F50+F51+F52</f>
        <v>51.769999999999996</v>
      </c>
      <c r="G49" s="64">
        <f>+G50+G51+G52</f>
        <v>53.75</v>
      </c>
      <c r="H49" s="64">
        <f t="shared" si="1"/>
        <v>103.8246088468225</v>
      </c>
    </row>
    <row r="50" spans="2:8" ht="30" customHeight="1" x14ac:dyDescent="0.25">
      <c r="B50" s="50"/>
      <c r="C50" s="51"/>
      <c r="D50" s="52">
        <v>3423</v>
      </c>
      <c r="E50" s="52" t="s">
        <v>99</v>
      </c>
      <c r="F50" s="74">
        <v>0</v>
      </c>
      <c r="G50" s="74">
        <v>0</v>
      </c>
      <c r="H50" s="60">
        <v>0</v>
      </c>
    </row>
    <row r="51" spans="2:8" ht="30" customHeight="1" x14ac:dyDescent="0.25">
      <c r="B51" s="50"/>
      <c r="C51" s="51"/>
      <c r="D51" s="52">
        <v>3431</v>
      </c>
      <c r="E51" s="52" t="s">
        <v>100</v>
      </c>
      <c r="F51" s="74">
        <v>18.760000000000002</v>
      </c>
      <c r="G51" s="74">
        <v>20.420000000000002</v>
      </c>
      <c r="H51" s="60">
        <f t="shared" si="1"/>
        <v>108.84861407249467</v>
      </c>
    </row>
    <row r="52" spans="2:8" ht="30" customHeight="1" x14ac:dyDescent="0.25">
      <c r="B52" s="50"/>
      <c r="C52" s="51"/>
      <c r="D52" s="52">
        <v>3433</v>
      </c>
      <c r="E52" s="52" t="s">
        <v>101</v>
      </c>
      <c r="F52" s="74">
        <v>33.01</v>
      </c>
      <c r="G52" s="74">
        <v>33.33</v>
      </c>
      <c r="H52" s="60">
        <f t="shared" si="1"/>
        <v>100.96940321114813</v>
      </c>
    </row>
    <row r="53" spans="2:8" ht="30" customHeight="1" x14ac:dyDescent="0.25">
      <c r="B53" s="251" t="s">
        <v>102</v>
      </c>
      <c r="C53" s="252"/>
      <c r="D53" s="253"/>
      <c r="E53" s="84" t="s">
        <v>103</v>
      </c>
      <c r="F53" s="85">
        <v>352312.95</v>
      </c>
      <c r="G53" s="85">
        <v>352301.7</v>
      </c>
      <c r="H53" s="87">
        <f t="shared" si="1"/>
        <v>99.996806816212697</v>
      </c>
    </row>
    <row r="54" spans="2:8" ht="30" customHeight="1" x14ac:dyDescent="0.25">
      <c r="B54" s="68">
        <v>45</v>
      </c>
      <c r="C54" s="51"/>
      <c r="D54" s="52"/>
      <c r="E54" s="73" t="s">
        <v>74</v>
      </c>
      <c r="F54" s="63">
        <f>+F57+F59+F55</f>
        <v>214964.52</v>
      </c>
      <c r="G54" s="63">
        <f>+G55+G57+G59</f>
        <v>214964.52</v>
      </c>
      <c r="H54" s="60">
        <f t="shared" si="1"/>
        <v>100</v>
      </c>
    </row>
    <row r="55" spans="2:8" ht="30" customHeight="1" x14ac:dyDescent="0.25">
      <c r="B55" s="185">
        <v>34</v>
      </c>
      <c r="C55" s="187"/>
      <c r="D55" s="188"/>
      <c r="E55" s="73" t="s">
        <v>98</v>
      </c>
      <c r="F55" s="63">
        <v>7291.28</v>
      </c>
      <c r="G55" s="63">
        <v>7291.28</v>
      </c>
      <c r="H55" s="60">
        <v>100</v>
      </c>
    </row>
    <row r="56" spans="2:8" ht="30" customHeight="1" x14ac:dyDescent="0.25">
      <c r="B56" s="185"/>
      <c r="C56" s="187"/>
      <c r="D56" s="188">
        <v>3423</v>
      </c>
      <c r="E56" s="37" t="s">
        <v>234</v>
      </c>
      <c r="F56" s="63">
        <v>7291.28</v>
      </c>
      <c r="G56" s="63">
        <v>7291.28</v>
      </c>
      <c r="H56" s="60">
        <v>100</v>
      </c>
    </row>
    <row r="57" spans="2:8" ht="30" customHeight="1" x14ac:dyDescent="0.25">
      <c r="B57" s="70"/>
      <c r="C57" s="71">
        <v>45</v>
      </c>
      <c r="D57" s="72"/>
      <c r="E57" s="73" t="s">
        <v>113</v>
      </c>
      <c r="F57" s="63">
        <f t="shared" ref="F57" si="2">+F58</f>
        <v>160000</v>
      </c>
      <c r="G57" s="63">
        <v>160000</v>
      </c>
      <c r="H57" s="60">
        <f t="shared" si="1"/>
        <v>100</v>
      </c>
    </row>
    <row r="58" spans="2:8" ht="30" customHeight="1" x14ac:dyDescent="0.25">
      <c r="B58" s="70"/>
      <c r="C58" s="66"/>
      <c r="D58" s="67">
        <v>4511</v>
      </c>
      <c r="E58" s="83" t="s">
        <v>114</v>
      </c>
      <c r="F58" s="63">
        <v>160000</v>
      </c>
      <c r="G58" s="63">
        <v>160000</v>
      </c>
      <c r="H58" s="60">
        <f t="shared" si="1"/>
        <v>100</v>
      </c>
    </row>
    <row r="59" spans="2:8" ht="30" customHeight="1" x14ac:dyDescent="0.25">
      <c r="B59" s="68"/>
      <c r="C59" s="112">
        <v>54</v>
      </c>
      <c r="D59" s="117"/>
      <c r="E59" s="117" t="s">
        <v>209</v>
      </c>
      <c r="F59" s="118">
        <f t="shared" ref="F59:G59" si="3">+F60</f>
        <v>47673.24</v>
      </c>
      <c r="G59" s="118">
        <f t="shared" si="3"/>
        <v>47673.24</v>
      </c>
      <c r="H59" s="119">
        <f>(G59/F59)*100</f>
        <v>100</v>
      </c>
    </row>
    <row r="60" spans="2:8" ht="30" customHeight="1" x14ac:dyDescent="0.25">
      <c r="B60" s="50"/>
      <c r="C60" s="51"/>
      <c r="D60" s="52">
        <v>5443</v>
      </c>
      <c r="E60" s="52" t="s">
        <v>104</v>
      </c>
      <c r="F60" s="60">
        <v>47673.24</v>
      </c>
      <c r="G60" s="60">
        <v>47673.24</v>
      </c>
      <c r="H60" s="119">
        <f>(G60/F60)*100</f>
        <v>100</v>
      </c>
    </row>
    <row r="61" spans="2:8" ht="30" customHeight="1" x14ac:dyDescent="0.25">
      <c r="B61" s="174">
        <v>12</v>
      </c>
      <c r="C61" s="178"/>
      <c r="D61" s="179"/>
      <c r="E61" s="176" t="s">
        <v>60</v>
      </c>
      <c r="F61" s="63">
        <v>87348.43</v>
      </c>
      <c r="G61" s="63">
        <v>87348.43</v>
      </c>
      <c r="H61" s="119">
        <f t="shared" ref="H61:H66" si="4">(G61/F61)*100</f>
        <v>100</v>
      </c>
    </row>
    <row r="62" spans="2:8" ht="30" customHeight="1" x14ac:dyDescent="0.25">
      <c r="B62" s="177"/>
      <c r="C62" s="175">
        <v>45</v>
      </c>
      <c r="D62" s="179"/>
      <c r="E62" s="176" t="s">
        <v>114</v>
      </c>
      <c r="F62" s="59">
        <v>87348.43</v>
      </c>
      <c r="G62" s="59">
        <v>87348.43</v>
      </c>
      <c r="H62" s="119">
        <f t="shared" si="4"/>
        <v>100</v>
      </c>
    </row>
    <row r="63" spans="2:8" ht="30" customHeight="1" x14ac:dyDescent="0.25">
      <c r="B63" s="177"/>
      <c r="C63" s="178"/>
      <c r="D63" s="179">
        <v>4511</v>
      </c>
      <c r="E63" s="179" t="s">
        <v>114</v>
      </c>
      <c r="F63" s="59">
        <v>87348.43</v>
      </c>
      <c r="G63" s="59">
        <v>87348.43</v>
      </c>
      <c r="H63" s="119">
        <f t="shared" si="4"/>
        <v>100</v>
      </c>
    </row>
    <row r="64" spans="2:8" ht="30" customHeight="1" x14ac:dyDescent="0.25">
      <c r="B64" s="177"/>
      <c r="C64" s="175">
        <v>11</v>
      </c>
      <c r="D64" s="179"/>
      <c r="E64" s="176" t="s">
        <v>59</v>
      </c>
      <c r="F64" s="59">
        <v>50000</v>
      </c>
      <c r="G64" s="59">
        <v>49988.75</v>
      </c>
      <c r="H64" s="119">
        <f t="shared" si="4"/>
        <v>99.977499999999992</v>
      </c>
    </row>
    <row r="65" spans="2:8" ht="30" customHeight="1" x14ac:dyDescent="0.25">
      <c r="B65" s="192"/>
      <c r="C65" s="190"/>
      <c r="D65" s="194">
        <v>42</v>
      </c>
      <c r="E65" s="191" t="s">
        <v>236</v>
      </c>
      <c r="F65" s="59">
        <v>50000</v>
      </c>
      <c r="G65" s="59">
        <v>49988.75</v>
      </c>
      <c r="H65" s="119">
        <v>99.98</v>
      </c>
    </row>
    <row r="66" spans="2:8" ht="30" customHeight="1" x14ac:dyDescent="0.25">
      <c r="B66" s="177"/>
      <c r="C66" s="178"/>
      <c r="D66" s="179">
        <v>4227</v>
      </c>
      <c r="E66" s="179" t="s">
        <v>236</v>
      </c>
      <c r="F66" s="59">
        <v>50000</v>
      </c>
      <c r="G66" s="59">
        <v>49988.75</v>
      </c>
      <c r="H66" s="119">
        <f t="shared" si="4"/>
        <v>99.977499999999992</v>
      </c>
    </row>
    <row r="67" spans="2:8" ht="30" customHeight="1" x14ac:dyDescent="0.25">
      <c r="B67" s="251" t="s">
        <v>102</v>
      </c>
      <c r="C67" s="252"/>
      <c r="D67" s="253"/>
      <c r="E67" s="84" t="s">
        <v>115</v>
      </c>
      <c r="F67" s="85">
        <v>23226.34</v>
      </c>
      <c r="G67" s="85">
        <v>23292.7</v>
      </c>
      <c r="H67" s="86">
        <f>(G67/F67)*100</f>
        <v>100.28571010327067</v>
      </c>
    </row>
    <row r="68" spans="2:8" ht="30" customHeight="1" x14ac:dyDescent="0.25">
      <c r="B68" s="70">
        <v>45</v>
      </c>
      <c r="C68" s="71"/>
      <c r="D68" s="72"/>
      <c r="E68" s="73" t="s">
        <v>74</v>
      </c>
      <c r="F68" s="63">
        <f>+F70+F71+F72</f>
        <v>7511.34</v>
      </c>
      <c r="G68" s="63">
        <f>+G69</f>
        <v>7511.34</v>
      </c>
      <c r="H68" s="64">
        <f t="shared" ref="H68:H74" si="5">(G68/F68)*100</f>
        <v>100</v>
      </c>
    </row>
    <row r="69" spans="2:8" ht="30" customHeight="1" x14ac:dyDescent="0.25">
      <c r="B69" s="70"/>
      <c r="C69" s="71">
        <v>32</v>
      </c>
      <c r="D69" s="72"/>
      <c r="E69" s="73" t="s">
        <v>11</v>
      </c>
      <c r="F69" s="63">
        <v>7511.34</v>
      </c>
      <c r="G69" s="63">
        <v>7511.34</v>
      </c>
      <c r="H69" s="64">
        <f t="shared" si="5"/>
        <v>100</v>
      </c>
    </row>
    <row r="70" spans="2:8" ht="30" customHeight="1" x14ac:dyDescent="0.25">
      <c r="B70" s="185"/>
      <c r="C70" s="186"/>
      <c r="D70" s="188">
        <v>3224</v>
      </c>
      <c r="E70" s="83" t="s">
        <v>235</v>
      </c>
      <c r="F70" s="59">
        <v>476.34</v>
      </c>
      <c r="G70" s="59">
        <v>476.34</v>
      </c>
      <c r="H70" s="60">
        <v>100</v>
      </c>
    </row>
    <row r="71" spans="2:8" ht="30" customHeight="1" x14ac:dyDescent="0.25">
      <c r="B71" s="185"/>
      <c r="C71" s="195"/>
      <c r="D71" s="188">
        <v>3232</v>
      </c>
      <c r="E71" s="83" t="s">
        <v>116</v>
      </c>
      <c r="F71" s="59">
        <v>6410</v>
      </c>
      <c r="G71" s="59">
        <v>6410</v>
      </c>
      <c r="H71" s="60">
        <v>100</v>
      </c>
    </row>
    <row r="72" spans="2:8" ht="30" customHeight="1" x14ac:dyDescent="0.25">
      <c r="B72" s="50"/>
      <c r="C72" s="51"/>
      <c r="D72" s="52">
        <v>3237</v>
      </c>
      <c r="E72" s="52" t="s">
        <v>90</v>
      </c>
      <c r="F72" s="59">
        <v>625</v>
      </c>
      <c r="G72" s="59">
        <v>691.36</v>
      </c>
      <c r="H72" s="60">
        <v>100</v>
      </c>
    </row>
    <row r="73" spans="2:8" ht="30" customHeight="1" x14ac:dyDescent="0.25">
      <c r="B73" s="70"/>
      <c r="C73" s="71">
        <v>42</v>
      </c>
      <c r="D73" s="72"/>
      <c r="E73" s="72" t="s">
        <v>117</v>
      </c>
      <c r="F73" s="63">
        <f>+F74</f>
        <v>2287.5</v>
      </c>
      <c r="G73" s="63">
        <f>+G74</f>
        <v>2287.5</v>
      </c>
      <c r="H73" s="60">
        <f t="shared" si="5"/>
        <v>100</v>
      </c>
    </row>
    <row r="74" spans="2:8" ht="30" customHeight="1" x14ac:dyDescent="0.25">
      <c r="B74" s="70"/>
      <c r="C74" s="71"/>
      <c r="D74" s="194">
        <v>4221</v>
      </c>
      <c r="E74" s="37" t="s">
        <v>237</v>
      </c>
      <c r="F74" s="59">
        <v>2287.5</v>
      </c>
      <c r="G74" s="59">
        <v>2287.5</v>
      </c>
      <c r="H74" s="64">
        <f t="shared" si="5"/>
        <v>100</v>
      </c>
    </row>
    <row r="75" spans="2:8" ht="30" customHeight="1" x14ac:dyDescent="0.25">
      <c r="B75" s="189">
        <v>12</v>
      </c>
      <c r="C75" s="190"/>
      <c r="D75" s="194"/>
      <c r="E75" s="196" t="s">
        <v>60</v>
      </c>
      <c r="F75" s="63">
        <v>13427.5</v>
      </c>
      <c r="G75" s="63">
        <v>13427.5</v>
      </c>
      <c r="H75" s="64">
        <v>100</v>
      </c>
    </row>
    <row r="76" spans="2:8" ht="30" customHeight="1" x14ac:dyDescent="0.25">
      <c r="B76" s="189"/>
      <c r="C76" s="190">
        <v>32</v>
      </c>
      <c r="D76" s="194"/>
      <c r="E76" s="196" t="s">
        <v>11</v>
      </c>
      <c r="F76" s="63">
        <v>13427.5</v>
      </c>
      <c r="G76" s="63">
        <v>13427.5</v>
      </c>
      <c r="H76" s="64">
        <v>100</v>
      </c>
    </row>
    <row r="77" spans="2:8" ht="30" customHeight="1" x14ac:dyDescent="0.25">
      <c r="B77" s="189"/>
      <c r="C77" s="190"/>
      <c r="D77" s="194">
        <v>3232</v>
      </c>
      <c r="E77" s="83" t="s">
        <v>116</v>
      </c>
      <c r="F77" s="59">
        <v>13427.5</v>
      </c>
      <c r="G77" s="59">
        <v>13427.5</v>
      </c>
      <c r="H77" s="64">
        <v>100</v>
      </c>
    </row>
    <row r="78" spans="2:8" ht="30" customHeight="1" x14ac:dyDescent="0.25">
      <c r="B78" s="251" t="s">
        <v>105</v>
      </c>
      <c r="C78" s="252"/>
      <c r="D78" s="253"/>
      <c r="E78" s="84" t="s">
        <v>106</v>
      </c>
      <c r="F78" s="85">
        <f t="shared" ref="F78:G78" si="6">+F79</f>
        <v>1269816.1300000001</v>
      </c>
      <c r="G78" s="85">
        <f t="shared" si="6"/>
        <v>1436323.86</v>
      </c>
      <c r="H78" s="86">
        <f>(G78/F78)*100</f>
        <v>113.11274333867533</v>
      </c>
    </row>
    <row r="79" spans="2:8" ht="30" customHeight="1" x14ac:dyDescent="0.25">
      <c r="B79" s="68">
        <v>51</v>
      </c>
      <c r="C79" s="69"/>
      <c r="D79" s="62"/>
      <c r="E79" s="62" t="s">
        <v>65</v>
      </c>
      <c r="F79" s="63">
        <f>+F80+F85</f>
        <v>1269816.1300000001</v>
      </c>
      <c r="G79" s="63">
        <f>+G80+G85</f>
        <v>1436323.86</v>
      </c>
      <c r="H79" s="64">
        <f t="shared" ref="H79:H91" si="7">(G79/F79)*100</f>
        <v>113.11274333867533</v>
      </c>
    </row>
    <row r="80" spans="2:8" ht="30" customHeight="1" x14ac:dyDescent="0.25">
      <c r="B80" s="50"/>
      <c r="C80" s="69">
        <v>31</v>
      </c>
      <c r="D80" s="62"/>
      <c r="E80" s="62" t="s">
        <v>5</v>
      </c>
      <c r="F80" s="64">
        <f>+F81+F83+F84</f>
        <v>1264987.79</v>
      </c>
      <c r="G80" s="64">
        <v>1431331.86</v>
      </c>
      <c r="H80" s="64">
        <f t="shared" si="7"/>
        <v>113.14985577844985</v>
      </c>
    </row>
    <row r="81" spans="2:8" ht="30" customHeight="1" x14ac:dyDescent="0.25">
      <c r="B81" s="50"/>
      <c r="C81" s="51"/>
      <c r="D81" s="52">
        <v>3111</v>
      </c>
      <c r="E81" s="52" t="s">
        <v>31</v>
      </c>
      <c r="F81" s="60">
        <v>1023044.09</v>
      </c>
      <c r="G81" s="60">
        <v>1179907.74</v>
      </c>
      <c r="H81" s="60">
        <f t="shared" si="7"/>
        <v>115.33302929299948</v>
      </c>
    </row>
    <row r="82" spans="2:8" ht="30" customHeight="1" x14ac:dyDescent="0.25">
      <c r="B82" s="200"/>
      <c r="C82" s="201"/>
      <c r="D82" s="202">
        <v>3113</v>
      </c>
      <c r="E82" s="202" t="s">
        <v>258</v>
      </c>
      <c r="F82" s="60"/>
      <c r="G82" s="60">
        <v>3778.19</v>
      </c>
      <c r="H82" s="60">
        <v>0</v>
      </c>
    </row>
    <row r="83" spans="2:8" ht="30" customHeight="1" x14ac:dyDescent="0.25">
      <c r="B83" s="50"/>
      <c r="C83" s="51"/>
      <c r="D83" s="52">
        <v>3121</v>
      </c>
      <c r="E83" s="52" t="s">
        <v>107</v>
      </c>
      <c r="F83" s="60">
        <v>47078.16</v>
      </c>
      <c r="G83" s="60">
        <v>51771.44</v>
      </c>
      <c r="H83" s="60">
        <f t="shared" si="7"/>
        <v>109.96912368707699</v>
      </c>
    </row>
    <row r="84" spans="2:8" ht="30" customHeight="1" x14ac:dyDescent="0.25">
      <c r="B84" s="50"/>
      <c r="C84" s="51"/>
      <c r="D84" s="52">
        <v>3132</v>
      </c>
      <c r="E84" s="52" t="s">
        <v>108</v>
      </c>
      <c r="F84" s="60">
        <v>194865.54</v>
      </c>
      <c r="G84" s="60">
        <v>195874.49</v>
      </c>
      <c r="H84" s="60">
        <f t="shared" si="7"/>
        <v>100.51776727686178</v>
      </c>
    </row>
    <row r="85" spans="2:8" ht="30" customHeight="1" x14ac:dyDescent="0.25">
      <c r="B85" s="68"/>
      <c r="C85" s="69">
        <v>32</v>
      </c>
      <c r="D85" s="62"/>
      <c r="E85" s="62" t="s">
        <v>11</v>
      </c>
      <c r="F85" s="64">
        <f>+F86+F87</f>
        <v>4828.34</v>
      </c>
      <c r="G85" s="64">
        <f>+G86+G87</f>
        <v>4992</v>
      </c>
      <c r="H85" s="64">
        <f t="shared" si="7"/>
        <v>103.38957074273974</v>
      </c>
    </row>
    <row r="86" spans="2:8" ht="30" customHeight="1" x14ac:dyDescent="0.25">
      <c r="B86" s="50"/>
      <c r="C86" s="51"/>
      <c r="D86" s="52">
        <v>3237</v>
      </c>
      <c r="E86" s="52" t="s">
        <v>109</v>
      </c>
      <c r="F86" s="60">
        <v>796.34</v>
      </c>
      <c r="G86" s="60">
        <v>0</v>
      </c>
      <c r="H86" s="60">
        <f t="shared" si="7"/>
        <v>0</v>
      </c>
    </row>
    <row r="87" spans="2:8" ht="30" customHeight="1" x14ac:dyDescent="0.25">
      <c r="B87" s="50"/>
      <c r="C87" s="51"/>
      <c r="D87" s="52">
        <v>3295</v>
      </c>
      <c r="E87" s="52" t="s">
        <v>110</v>
      </c>
      <c r="F87" s="60">
        <v>4032</v>
      </c>
      <c r="G87" s="60">
        <v>4992</v>
      </c>
      <c r="H87" s="60">
        <f t="shared" si="7"/>
        <v>123.80952380952381</v>
      </c>
    </row>
    <row r="88" spans="2:8" ht="30" customHeight="1" x14ac:dyDescent="0.25">
      <c r="B88" s="88" t="s">
        <v>120</v>
      </c>
      <c r="C88" s="193"/>
      <c r="D88" s="197"/>
      <c r="E88" s="90" t="s">
        <v>121</v>
      </c>
      <c r="F88" s="91">
        <v>352588.83</v>
      </c>
      <c r="G88" s="91">
        <v>339995.69</v>
      </c>
      <c r="H88" s="198">
        <f t="shared" si="7"/>
        <v>96.428378062912529</v>
      </c>
    </row>
    <row r="89" spans="2:8" ht="30" customHeight="1" x14ac:dyDescent="0.25">
      <c r="B89" s="251" t="s">
        <v>240</v>
      </c>
      <c r="C89" s="252"/>
      <c r="D89" s="253"/>
      <c r="E89" s="84" t="s">
        <v>239</v>
      </c>
      <c r="F89" s="85">
        <v>88767.26</v>
      </c>
      <c r="G89" s="85">
        <v>88767.26</v>
      </c>
      <c r="H89" s="86">
        <f t="shared" si="7"/>
        <v>100</v>
      </c>
    </row>
    <row r="90" spans="2:8" ht="30" customHeight="1" x14ac:dyDescent="0.25">
      <c r="B90" s="50"/>
      <c r="C90" s="69">
        <v>45</v>
      </c>
      <c r="D90" s="62"/>
      <c r="E90" s="62" t="s">
        <v>113</v>
      </c>
      <c r="F90" s="64">
        <f>+F91</f>
        <v>88767.26</v>
      </c>
      <c r="G90" s="64">
        <f>+G91</f>
        <v>88767.26</v>
      </c>
      <c r="H90" s="64">
        <f t="shared" si="7"/>
        <v>100</v>
      </c>
    </row>
    <row r="91" spans="2:8" ht="30" customHeight="1" x14ac:dyDescent="0.25">
      <c r="B91" s="50"/>
      <c r="C91" s="51"/>
      <c r="D91" s="52">
        <v>4511</v>
      </c>
      <c r="E91" s="52" t="s">
        <v>241</v>
      </c>
      <c r="F91" s="60">
        <v>88767.26</v>
      </c>
      <c r="G91" s="60">
        <v>88767.26</v>
      </c>
      <c r="H91" s="64">
        <f t="shared" si="7"/>
        <v>100</v>
      </c>
    </row>
    <row r="92" spans="2:8" ht="30" customHeight="1" x14ac:dyDescent="0.25">
      <c r="B92" s="251" t="s">
        <v>118</v>
      </c>
      <c r="C92" s="252"/>
      <c r="D92" s="253"/>
      <c r="E92" s="84" t="s">
        <v>119</v>
      </c>
      <c r="F92" s="85">
        <f t="shared" ref="F92:G93" si="8">+F93</f>
        <v>1550</v>
      </c>
      <c r="G92" s="85">
        <f t="shared" si="8"/>
        <v>1550</v>
      </c>
      <c r="H92" s="86">
        <f t="shared" ref="H92:H98" si="9">(G92/F92)*100</f>
        <v>100</v>
      </c>
    </row>
    <row r="93" spans="2:8" ht="30" customHeight="1" x14ac:dyDescent="0.25">
      <c r="B93" s="70">
        <v>11</v>
      </c>
      <c r="C93" s="71"/>
      <c r="D93" s="72"/>
      <c r="E93" s="72" t="s">
        <v>59</v>
      </c>
      <c r="F93" s="63">
        <f t="shared" si="8"/>
        <v>1550</v>
      </c>
      <c r="G93" s="63">
        <f t="shared" si="8"/>
        <v>1550</v>
      </c>
      <c r="H93" s="64">
        <f t="shared" si="9"/>
        <v>100</v>
      </c>
    </row>
    <row r="94" spans="2:8" ht="30" customHeight="1" x14ac:dyDescent="0.25">
      <c r="B94" s="70"/>
      <c r="C94" s="71">
        <v>32</v>
      </c>
      <c r="D94" s="52"/>
      <c r="E94" s="72" t="s">
        <v>11</v>
      </c>
      <c r="F94" s="59">
        <v>1550</v>
      </c>
      <c r="G94" s="59">
        <v>1550</v>
      </c>
      <c r="H94" s="60">
        <f t="shared" si="9"/>
        <v>100</v>
      </c>
    </row>
    <row r="95" spans="2:8" ht="30" customHeight="1" x14ac:dyDescent="0.25">
      <c r="B95" s="50"/>
      <c r="C95" s="51"/>
      <c r="D95" s="52">
        <v>3211</v>
      </c>
      <c r="E95" s="52" t="s">
        <v>33</v>
      </c>
      <c r="F95" s="60">
        <v>300</v>
      </c>
      <c r="G95" s="60">
        <v>300</v>
      </c>
      <c r="H95" s="60">
        <f t="shared" si="9"/>
        <v>100</v>
      </c>
    </row>
    <row r="96" spans="2:8" ht="30" customHeight="1" x14ac:dyDescent="0.25">
      <c r="B96" s="192"/>
      <c r="C96" s="193"/>
      <c r="D96" s="194">
        <v>3221</v>
      </c>
      <c r="E96" s="194" t="s">
        <v>238</v>
      </c>
      <c r="F96" s="60">
        <v>334.37</v>
      </c>
      <c r="G96" s="60">
        <v>334.37</v>
      </c>
      <c r="H96" s="60">
        <v>100</v>
      </c>
    </row>
    <row r="97" spans="2:8" ht="30" customHeight="1" x14ac:dyDescent="0.25">
      <c r="B97" s="50"/>
      <c r="C97" s="51"/>
      <c r="D97" s="52">
        <v>3239</v>
      </c>
      <c r="E97" s="52" t="s">
        <v>92</v>
      </c>
      <c r="F97" s="60">
        <v>165.63</v>
      </c>
      <c r="G97" s="60">
        <v>165.63</v>
      </c>
      <c r="H97" s="60">
        <f t="shared" si="9"/>
        <v>100</v>
      </c>
    </row>
    <row r="98" spans="2:8" ht="30" customHeight="1" x14ac:dyDescent="0.25">
      <c r="B98" s="50"/>
      <c r="C98" s="51"/>
      <c r="D98" s="52">
        <v>3299</v>
      </c>
      <c r="E98" s="52" t="s">
        <v>97</v>
      </c>
      <c r="F98" s="60">
        <v>750</v>
      </c>
      <c r="G98" s="60">
        <v>750</v>
      </c>
      <c r="H98" s="60">
        <f t="shared" si="9"/>
        <v>100</v>
      </c>
    </row>
    <row r="99" spans="2:8" ht="30" customHeight="1" x14ac:dyDescent="0.25">
      <c r="B99" s="251" t="s">
        <v>122</v>
      </c>
      <c r="C99" s="252"/>
      <c r="D99" s="253"/>
      <c r="E99" s="84" t="s">
        <v>123</v>
      </c>
      <c r="F99" s="85">
        <v>80621.27</v>
      </c>
      <c r="G99" s="85">
        <v>72701.13</v>
      </c>
      <c r="H99" s="86">
        <f>(G99/F99)*100</f>
        <v>90.176116054733441</v>
      </c>
    </row>
    <row r="100" spans="2:8" ht="30" customHeight="1" x14ac:dyDescent="0.25">
      <c r="B100" s="70">
        <v>31</v>
      </c>
      <c r="C100" s="71"/>
      <c r="D100" s="72"/>
      <c r="E100" s="72" t="s">
        <v>61</v>
      </c>
      <c r="F100" s="64">
        <f>+F101+F104+F127+F125</f>
        <v>24361.34</v>
      </c>
      <c r="G100" s="64">
        <f>+G101+G104+G127+G125</f>
        <v>29388.159999999996</v>
      </c>
      <c r="H100" s="94">
        <f t="shared" ref="H100:H168" si="10">(G100/F100)*100</f>
        <v>120.63441501986343</v>
      </c>
    </row>
    <row r="101" spans="2:8" ht="30" customHeight="1" x14ac:dyDescent="0.25">
      <c r="B101" s="70"/>
      <c r="C101" s="71">
        <v>31</v>
      </c>
      <c r="D101" s="72"/>
      <c r="E101" s="72" t="s">
        <v>5</v>
      </c>
      <c r="F101" s="64">
        <f>+F102+F103</f>
        <v>1165</v>
      </c>
      <c r="G101" s="64">
        <f>+G102+G103</f>
        <v>0</v>
      </c>
      <c r="H101" s="94">
        <f t="shared" si="10"/>
        <v>0</v>
      </c>
    </row>
    <row r="102" spans="2:8" ht="30" customHeight="1" x14ac:dyDescent="0.25">
      <c r="B102" s="70"/>
      <c r="C102" s="71"/>
      <c r="D102" s="67">
        <v>3111</v>
      </c>
      <c r="E102" s="67" t="s">
        <v>31</v>
      </c>
      <c r="F102" s="60">
        <v>1000</v>
      </c>
      <c r="G102" s="60">
        <v>0</v>
      </c>
      <c r="H102" s="93">
        <f t="shared" si="10"/>
        <v>0</v>
      </c>
    </row>
    <row r="103" spans="2:8" ht="30" customHeight="1" x14ac:dyDescent="0.25">
      <c r="B103" s="70"/>
      <c r="C103" s="71"/>
      <c r="D103" s="67">
        <v>3132</v>
      </c>
      <c r="E103" s="67" t="s">
        <v>108</v>
      </c>
      <c r="F103" s="60">
        <v>165</v>
      </c>
      <c r="G103" s="60">
        <v>0</v>
      </c>
      <c r="H103" s="93">
        <f t="shared" si="10"/>
        <v>0</v>
      </c>
    </row>
    <row r="104" spans="2:8" ht="30" customHeight="1" x14ac:dyDescent="0.25">
      <c r="B104" s="70"/>
      <c r="C104" s="71">
        <v>32</v>
      </c>
      <c r="D104" s="72"/>
      <c r="E104" s="72" t="s">
        <v>11</v>
      </c>
      <c r="F104" s="64">
        <f>SUM(F105:F124)</f>
        <v>15800</v>
      </c>
      <c r="G104" s="64">
        <f>SUM(G105:G124)</f>
        <v>28894.51</v>
      </c>
      <c r="H104" s="94">
        <f t="shared" si="10"/>
        <v>182.87664556962025</v>
      </c>
    </row>
    <row r="105" spans="2:8" ht="30" customHeight="1" x14ac:dyDescent="0.25">
      <c r="B105" s="65"/>
      <c r="C105" s="66"/>
      <c r="D105" s="67">
        <v>3211</v>
      </c>
      <c r="E105" s="67" t="s">
        <v>33</v>
      </c>
      <c r="F105" s="60">
        <v>2000</v>
      </c>
      <c r="G105" s="60">
        <v>5149.53</v>
      </c>
      <c r="H105" s="93">
        <f t="shared" si="10"/>
        <v>257.47649999999999</v>
      </c>
    </row>
    <row r="106" spans="2:8" ht="30" customHeight="1" x14ac:dyDescent="0.25">
      <c r="B106" s="65"/>
      <c r="C106" s="66"/>
      <c r="D106" s="67">
        <v>3213</v>
      </c>
      <c r="E106" s="67" t="s">
        <v>76</v>
      </c>
      <c r="F106" s="60">
        <v>800</v>
      </c>
      <c r="G106" s="60">
        <v>130</v>
      </c>
      <c r="H106" s="93">
        <f t="shared" si="10"/>
        <v>16.25</v>
      </c>
    </row>
    <row r="107" spans="2:8" ht="30" customHeight="1" x14ac:dyDescent="0.25">
      <c r="B107" s="65"/>
      <c r="C107" s="66"/>
      <c r="D107" s="67">
        <v>3214</v>
      </c>
      <c r="E107" s="67" t="s">
        <v>77</v>
      </c>
      <c r="F107" s="60">
        <v>0</v>
      </c>
      <c r="G107" s="60">
        <v>0</v>
      </c>
      <c r="H107" s="93" t="e">
        <f t="shared" si="10"/>
        <v>#DIV/0!</v>
      </c>
    </row>
    <row r="108" spans="2:8" ht="30" customHeight="1" x14ac:dyDescent="0.25">
      <c r="B108" s="65"/>
      <c r="C108" s="66"/>
      <c r="D108" s="67">
        <v>3221</v>
      </c>
      <c r="E108" s="67" t="s">
        <v>125</v>
      </c>
      <c r="F108" s="60">
        <v>600</v>
      </c>
      <c r="G108" s="60">
        <v>265.52999999999997</v>
      </c>
      <c r="H108" s="93">
        <f t="shared" si="10"/>
        <v>44.254999999999995</v>
      </c>
    </row>
    <row r="109" spans="2:8" ht="30" customHeight="1" x14ac:dyDescent="0.25">
      <c r="B109" s="65"/>
      <c r="C109" s="66"/>
      <c r="D109" s="67">
        <v>3222</v>
      </c>
      <c r="E109" s="67" t="s">
        <v>126</v>
      </c>
      <c r="F109" s="60">
        <v>300</v>
      </c>
      <c r="G109" s="60">
        <v>865.62</v>
      </c>
      <c r="H109" s="93">
        <f t="shared" si="10"/>
        <v>288.54000000000002</v>
      </c>
    </row>
    <row r="110" spans="2:8" ht="30" customHeight="1" x14ac:dyDescent="0.25">
      <c r="B110" s="65"/>
      <c r="C110" s="66"/>
      <c r="D110" s="67">
        <v>3223</v>
      </c>
      <c r="E110" s="67" t="s">
        <v>80</v>
      </c>
      <c r="F110" s="60">
        <v>0</v>
      </c>
      <c r="G110" s="60">
        <v>0</v>
      </c>
      <c r="H110" s="93">
        <v>0</v>
      </c>
    </row>
    <row r="111" spans="2:8" ht="30" customHeight="1" x14ac:dyDescent="0.25">
      <c r="B111" s="65"/>
      <c r="C111" s="66"/>
      <c r="D111" s="67">
        <v>3224</v>
      </c>
      <c r="E111" s="67" t="s">
        <v>81</v>
      </c>
      <c r="F111" s="60">
        <v>1000</v>
      </c>
      <c r="G111" s="60">
        <v>1350.61</v>
      </c>
      <c r="H111" s="93">
        <f t="shared" si="10"/>
        <v>135.06099999999998</v>
      </c>
    </row>
    <row r="112" spans="2:8" ht="30" customHeight="1" x14ac:dyDescent="0.25">
      <c r="B112" s="65"/>
      <c r="C112" s="66"/>
      <c r="D112" s="67">
        <v>3225</v>
      </c>
      <c r="E112" s="67" t="s">
        <v>82</v>
      </c>
      <c r="F112" s="60">
        <v>200</v>
      </c>
      <c r="G112" s="60">
        <v>0</v>
      </c>
      <c r="H112" s="93">
        <f t="shared" si="10"/>
        <v>0</v>
      </c>
    </row>
    <row r="113" spans="2:8" ht="30" customHeight="1" x14ac:dyDescent="0.25">
      <c r="B113" s="65"/>
      <c r="C113" s="66"/>
      <c r="D113" s="67">
        <v>3227</v>
      </c>
      <c r="E113" s="67" t="s">
        <v>83</v>
      </c>
      <c r="F113" s="60">
        <v>0</v>
      </c>
      <c r="G113" s="60">
        <v>0</v>
      </c>
      <c r="H113" s="93">
        <v>0</v>
      </c>
    </row>
    <row r="114" spans="2:8" ht="30" customHeight="1" x14ac:dyDescent="0.25">
      <c r="B114" s="65"/>
      <c r="C114" s="66"/>
      <c r="D114" s="67">
        <v>3231</v>
      </c>
      <c r="E114" s="67" t="s">
        <v>84</v>
      </c>
      <c r="F114" s="60">
        <v>0</v>
      </c>
      <c r="G114" s="60">
        <v>11.53</v>
      </c>
      <c r="H114" s="93">
        <v>0</v>
      </c>
    </row>
    <row r="115" spans="2:8" ht="30" customHeight="1" x14ac:dyDescent="0.25">
      <c r="B115" s="65"/>
      <c r="C115" s="66"/>
      <c r="D115" s="67">
        <v>3232</v>
      </c>
      <c r="E115" s="67" t="s">
        <v>116</v>
      </c>
      <c r="F115" s="60">
        <v>2000</v>
      </c>
      <c r="G115" s="60">
        <v>1488.91</v>
      </c>
      <c r="H115" s="93">
        <f t="shared" si="10"/>
        <v>74.44550000000001</v>
      </c>
    </row>
    <row r="116" spans="2:8" ht="30" customHeight="1" x14ac:dyDescent="0.25">
      <c r="B116" s="65"/>
      <c r="C116" s="66"/>
      <c r="D116" s="67">
        <v>3234</v>
      </c>
      <c r="E116" s="67" t="s">
        <v>87</v>
      </c>
      <c r="F116" s="60">
        <v>100</v>
      </c>
      <c r="G116" s="60">
        <v>14932.18</v>
      </c>
      <c r="H116" s="93">
        <f t="shared" si="10"/>
        <v>14932.18</v>
      </c>
    </row>
    <row r="117" spans="2:8" ht="30" customHeight="1" x14ac:dyDescent="0.25">
      <c r="B117" s="177"/>
      <c r="C117" s="178"/>
      <c r="D117" s="179">
        <v>3233</v>
      </c>
      <c r="E117" s="179" t="s">
        <v>229</v>
      </c>
      <c r="F117" s="60">
        <v>0</v>
      </c>
      <c r="G117" s="60">
        <v>0</v>
      </c>
      <c r="H117" s="93">
        <v>0</v>
      </c>
    </row>
    <row r="118" spans="2:8" ht="30" customHeight="1" x14ac:dyDescent="0.25">
      <c r="B118" s="65"/>
      <c r="C118" s="66"/>
      <c r="D118" s="67">
        <v>3235</v>
      </c>
      <c r="E118" s="67" t="s">
        <v>88</v>
      </c>
      <c r="F118" s="60">
        <v>2000</v>
      </c>
      <c r="G118" s="60">
        <v>1290</v>
      </c>
      <c r="H118" s="93">
        <v>64.5</v>
      </c>
    </row>
    <row r="119" spans="2:8" ht="30" customHeight="1" x14ac:dyDescent="0.25">
      <c r="B119" s="65"/>
      <c r="C119" s="66"/>
      <c r="D119" s="67">
        <v>3237</v>
      </c>
      <c r="E119" s="67" t="s">
        <v>90</v>
      </c>
      <c r="F119" s="60">
        <v>2000</v>
      </c>
      <c r="G119" s="60">
        <v>1803.44</v>
      </c>
      <c r="H119" s="93">
        <f t="shared" si="10"/>
        <v>90.172000000000011</v>
      </c>
    </row>
    <row r="120" spans="2:8" ht="30" customHeight="1" x14ac:dyDescent="0.25">
      <c r="B120" s="65"/>
      <c r="C120" s="66"/>
      <c r="D120" s="67">
        <v>3238</v>
      </c>
      <c r="E120" s="67" t="s">
        <v>91</v>
      </c>
      <c r="F120" s="60">
        <v>600</v>
      </c>
      <c r="G120" s="60">
        <v>130.44</v>
      </c>
      <c r="H120" s="93">
        <f t="shared" si="10"/>
        <v>21.740000000000002</v>
      </c>
    </row>
    <row r="121" spans="2:8" ht="30" customHeight="1" x14ac:dyDescent="0.25">
      <c r="B121" s="65"/>
      <c r="C121" s="66"/>
      <c r="D121" s="67">
        <v>3293</v>
      </c>
      <c r="E121" s="67" t="s">
        <v>94</v>
      </c>
      <c r="F121" s="60">
        <v>2000</v>
      </c>
      <c r="G121" s="60">
        <v>13.72</v>
      </c>
      <c r="H121" s="93">
        <f t="shared" si="10"/>
        <v>0.68600000000000005</v>
      </c>
    </row>
    <row r="122" spans="2:8" ht="30" customHeight="1" x14ac:dyDescent="0.25">
      <c r="B122" s="80"/>
      <c r="C122" s="81"/>
      <c r="D122" s="82">
        <v>3295</v>
      </c>
      <c r="E122" s="82" t="s">
        <v>130</v>
      </c>
      <c r="F122" s="60">
        <v>600</v>
      </c>
      <c r="G122" s="60">
        <v>0</v>
      </c>
      <c r="H122" s="93">
        <f t="shared" si="10"/>
        <v>0</v>
      </c>
    </row>
    <row r="123" spans="2:8" ht="30" customHeight="1" x14ac:dyDescent="0.25">
      <c r="B123" s="65"/>
      <c r="C123" s="66"/>
      <c r="D123" s="67">
        <v>3296</v>
      </c>
      <c r="E123" s="67" t="s">
        <v>127</v>
      </c>
      <c r="F123" s="60">
        <v>100</v>
      </c>
      <c r="G123" s="60">
        <v>0</v>
      </c>
      <c r="H123" s="93">
        <f t="shared" si="10"/>
        <v>0</v>
      </c>
    </row>
    <row r="124" spans="2:8" ht="30" customHeight="1" x14ac:dyDescent="0.25">
      <c r="B124" s="65"/>
      <c r="C124" s="66"/>
      <c r="D124" s="67">
        <v>3299</v>
      </c>
      <c r="E124" s="67" t="s">
        <v>97</v>
      </c>
      <c r="F124" s="60">
        <v>1500</v>
      </c>
      <c r="G124" s="60">
        <v>1463</v>
      </c>
      <c r="H124" s="93">
        <f t="shared" si="10"/>
        <v>97.533333333333331</v>
      </c>
    </row>
    <row r="125" spans="2:8" ht="30" customHeight="1" x14ac:dyDescent="0.25">
      <c r="B125" s="177"/>
      <c r="C125" s="175">
        <v>34</v>
      </c>
      <c r="D125" s="179"/>
      <c r="E125" s="176" t="s">
        <v>98</v>
      </c>
      <c r="F125" s="64">
        <f>SUM(F126)</f>
        <v>100</v>
      </c>
      <c r="G125" s="64">
        <f>SUM(G126)</f>
        <v>213.21</v>
      </c>
      <c r="H125" s="93">
        <f>(G125/F125)*100</f>
        <v>213.20999999999998</v>
      </c>
    </row>
    <row r="126" spans="2:8" ht="30" customHeight="1" x14ac:dyDescent="0.25">
      <c r="B126" s="177"/>
      <c r="C126" s="178"/>
      <c r="D126" s="179">
        <v>3423</v>
      </c>
      <c r="E126" s="179" t="s">
        <v>99</v>
      </c>
      <c r="F126" s="60">
        <v>100</v>
      </c>
      <c r="G126" s="60">
        <v>213.21</v>
      </c>
      <c r="H126" s="93">
        <f t="shared" si="10"/>
        <v>213.20999999999998</v>
      </c>
    </row>
    <row r="127" spans="2:8" ht="30" customHeight="1" x14ac:dyDescent="0.25">
      <c r="B127" s="77"/>
      <c r="C127" s="78">
        <v>42</v>
      </c>
      <c r="D127" s="79"/>
      <c r="E127" s="79" t="s">
        <v>111</v>
      </c>
      <c r="F127" s="64">
        <f>+F128+F129+F130+F131</f>
        <v>7296.34</v>
      </c>
      <c r="G127" s="64">
        <f>+G128+G129+G130+G131</f>
        <v>280.44</v>
      </c>
      <c r="H127" s="94">
        <f t="shared" si="10"/>
        <v>3.8435708862251485</v>
      </c>
    </row>
    <row r="128" spans="2:8" ht="30" customHeight="1" x14ac:dyDescent="0.25">
      <c r="B128" s="80"/>
      <c r="C128" s="81"/>
      <c r="D128" s="82">
        <v>4221</v>
      </c>
      <c r="E128" s="82" t="s">
        <v>131</v>
      </c>
      <c r="F128" s="60">
        <v>5000</v>
      </c>
      <c r="G128" s="60">
        <v>0</v>
      </c>
      <c r="H128" s="93">
        <f t="shared" si="10"/>
        <v>0</v>
      </c>
    </row>
    <row r="129" spans="2:8" ht="30" customHeight="1" x14ac:dyDescent="0.25">
      <c r="B129" s="80"/>
      <c r="C129" s="81"/>
      <c r="D129" s="82">
        <v>4221</v>
      </c>
      <c r="E129" s="82" t="s">
        <v>117</v>
      </c>
      <c r="F129" s="60">
        <v>1000</v>
      </c>
      <c r="G129" s="60">
        <v>0</v>
      </c>
      <c r="H129" s="93">
        <f t="shared" si="10"/>
        <v>0</v>
      </c>
    </row>
    <row r="130" spans="2:8" ht="30" customHeight="1" x14ac:dyDescent="0.25">
      <c r="B130" s="80"/>
      <c r="C130" s="81"/>
      <c r="D130" s="82">
        <v>4223</v>
      </c>
      <c r="E130" s="82" t="s">
        <v>128</v>
      </c>
      <c r="F130" s="60">
        <v>500</v>
      </c>
      <c r="G130" s="60">
        <v>0</v>
      </c>
      <c r="H130" s="93">
        <f t="shared" si="10"/>
        <v>0</v>
      </c>
    </row>
    <row r="131" spans="2:8" ht="30" customHeight="1" x14ac:dyDescent="0.25">
      <c r="B131" s="80"/>
      <c r="C131" s="81"/>
      <c r="D131" s="82">
        <v>4241</v>
      </c>
      <c r="E131" s="82" t="s">
        <v>129</v>
      </c>
      <c r="F131" s="60">
        <v>796.34</v>
      </c>
      <c r="G131" s="60">
        <v>280.44</v>
      </c>
      <c r="H131" s="93">
        <f t="shared" si="10"/>
        <v>35.216113720270236</v>
      </c>
    </row>
    <row r="132" spans="2:8" ht="35.25" customHeight="1" x14ac:dyDescent="0.25">
      <c r="B132" s="70">
        <v>41</v>
      </c>
      <c r="C132" s="71"/>
      <c r="D132" s="72"/>
      <c r="E132" s="72" t="s">
        <v>62</v>
      </c>
      <c r="F132" s="64">
        <f>+F133</f>
        <v>8666.36</v>
      </c>
      <c r="G132" s="64">
        <f>+G133</f>
        <v>10550</v>
      </c>
      <c r="H132" s="94">
        <f t="shared" si="10"/>
        <v>121.73507677963988</v>
      </c>
    </row>
    <row r="133" spans="2:8" ht="30" customHeight="1" x14ac:dyDescent="0.25">
      <c r="B133" s="65"/>
      <c r="C133" s="71">
        <v>32</v>
      </c>
      <c r="D133" s="72"/>
      <c r="E133" s="72" t="s">
        <v>11</v>
      </c>
      <c r="F133" s="64">
        <f>+F134+F135+F136+F137</f>
        <v>8666.36</v>
      </c>
      <c r="G133" s="64">
        <f>+G134+G135+G136+G137</f>
        <v>10550</v>
      </c>
      <c r="H133" s="94">
        <f t="shared" si="10"/>
        <v>121.73507677963988</v>
      </c>
    </row>
    <row r="134" spans="2:8" ht="30" customHeight="1" x14ac:dyDescent="0.25">
      <c r="B134" s="65"/>
      <c r="C134" s="66"/>
      <c r="D134" s="67">
        <v>3221</v>
      </c>
      <c r="E134" s="67" t="s">
        <v>125</v>
      </c>
      <c r="F134" s="60">
        <v>66.36</v>
      </c>
      <c r="G134" s="60">
        <v>0</v>
      </c>
      <c r="H134" s="93">
        <f t="shared" si="10"/>
        <v>0</v>
      </c>
    </row>
    <row r="135" spans="2:8" ht="30" customHeight="1" x14ac:dyDescent="0.25">
      <c r="B135" s="65"/>
      <c r="C135" s="66"/>
      <c r="D135" s="67">
        <v>3235</v>
      </c>
      <c r="E135" s="67" t="s">
        <v>88</v>
      </c>
      <c r="F135" s="60">
        <v>2000</v>
      </c>
      <c r="G135" s="60">
        <v>4420</v>
      </c>
      <c r="H135" s="93">
        <f t="shared" si="10"/>
        <v>221</v>
      </c>
    </row>
    <row r="136" spans="2:8" ht="30" customHeight="1" x14ac:dyDescent="0.25">
      <c r="B136" s="65"/>
      <c r="C136" s="66"/>
      <c r="D136" s="67">
        <v>3239</v>
      </c>
      <c r="E136" s="67" t="s">
        <v>92</v>
      </c>
      <c r="F136" s="60">
        <v>100</v>
      </c>
      <c r="G136" s="60">
        <v>0</v>
      </c>
      <c r="H136" s="93">
        <f t="shared" si="10"/>
        <v>0</v>
      </c>
    </row>
    <row r="137" spans="2:8" ht="30" customHeight="1" x14ac:dyDescent="0.25">
      <c r="B137" s="177"/>
      <c r="C137" s="178"/>
      <c r="D137" s="179">
        <v>3299</v>
      </c>
      <c r="E137" s="179" t="s">
        <v>97</v>
      </c>
      <c r="F137" s="60">
        <v>6500</v>
      </c>
      <c r="G137" s="60">
        <v>6130</v>
      </c>
      <c r="H137" s="93">
        <f t="shared" si="10"/>
        <v>94.307692307692307</v>
      </c>
    </row>
    <row r="138" spans="2:8" ht="30" customHeight="1" x14ac:dyDescent="0.25">
      <c r="B138" s="70">
        <v>42</v>
      </c>
      <c r="C138" s="71"/>
      <c r="D138" s="72"/>
      <c r="E138" s="72" t="s">
        <v>63</v>
      </c>
      <c r="F138" s="64">
        <f>+F139+F160+F158</f>
        <v>8940.52</v>
      </c>
      <c r="G138" s="64">
        <f>+G139+G160+G158</f>
        <v>2689.02</v>
      </c>
      <c r="H138" s="94">
        <f t="shared" si="10"/>
        <v>30.076774057884776</v>
      </c>
    </row>
    <row r="139" spans="2:8" ht="30" customHeight="1" x14ac:dyDescent="0.25">
      <c r="B139" s="70"/>
      <c r="C139" s="71">
        <v>32</v>
      </c>
      <c r="D139" s="72"/>
      <c r="E139" s="72" t="s">
        <v>11</v>
      </c>
      <c r="F139" s="64">
        <f>+F140+F141+F142+F143+F144+F145+F146+F147+F148+F149+F150+F151+F152+F153+F154+F155+F156+F157</f>
        <v>8940.52</v>
      </c>
      <c r="G139" s="64">
        <f>+G140+G141+G142+G143+G144+G145+G146+G147+G148+G149+G150+G151+G152+G153+G154+G155+G156+G157</f>
        <v>2689.02</v>
      </c>
      <c r="H139" s="94">
        <f t="shared" si="10"/>
        <v>30.076774057884776</v>
      </c>
    </row>
    <row r="140" spans="2:8" ht="30" customHeight="1" x14ac:dyDescent="0.25">
      <c r="B140" s="65"/>
      <c r="C140" s="66"/>
      <c r="D140" s="67">
        <v>3211</v>
      </c>
      <c r="E140" s="67" t="s">
        <v>33</v>
      </c>
      <c r="F140" s="60">
        <v>0</v>
      </c>
      <c r="G140" s="60">
        <v>0</v>
      </c>
      <c r="H140" s="93">
        <v>0</v>
      </c>
    </row>
    <row r="141" spans="2:8" ht="30" customHeight="1" x14ac:dyDescent="0.25">
      <c r="B141" s="65"/>
      <c r="C141" s="66"/>
      <c r="D141" s="67">
        <v>3213</v>
      </c>
      <c r="E141" s="67" t="s">
        <v>76</v>
      </c>
      <c r="F141" s="60">
        <v>0</v>
      </c>
      <c r="G141" s="60">
        <v>0</v>
      </c>
      <c r="H141" s="93">
        <v>0</v>
      </c>
    </row>
    <row r="142" spans="2:8" ht="30" customHeight="1" x14ac:dyDescent="0.25">
      <c r="B142" s="65"/>
      <c r="C142" s="66"/>
      <c r="D142" s="67">
        <v>3221</v>
      </c>
      <c r="E142" s="67" t="s">
        <v>125</v>
      </c>
      <c r="F142" s="60">
        <v>0</v>
      </c>
      <c r="G142" s="60">
        <v>0</v>
      </c>
      <c r="H142" s="93">
        <v>0</v>
      </c>
    </row>
    <row r="143" spans="2:8" ht="30" customHeight="1" x14ac:dyDescent="0.25">
      <c r="B143" s="65"/>
      <c r="C143" s="66"/>
      <c r="D143" s="67">
        <v>3222</v>
      </c>
      <c r="E143" s="67" t="s">
        <v>126</v>
      </c>
      <c r="F143" s="60">
        <v>0</v>
      </c>
      <c r="G143" s="60">
        <v>0</v>
      </c>
      <c r="H143" s="93">
        <v>0</v>
      </c>
    </row>
    <row r="144" spans="2:8" ht="30" customHeight="1" x14ac:dyDescent="0.25">
      <c r="B144" s="65"/>
      <c r="C144" s="66"/>
      <c r="D144" s="67">
        <v>3224</v>
      </c>
      <c r="E144" s="67" t="s">
        <v>81</v>
      </c>
      <c r="F144" s="60">
        <v>0</v>
      </c>
      <c r="G144" s="60">
        <v>79.75</v>
      </c>
      <c r="H144" s="93">
        <v>0</v>
      </c>
    </row>
    <row r="145" spans="2:8" ht="30" customHeight="1" x14ac:dyDescent="0.25">
      <c r="B145" s="65"/>
      <c r="C145" s="66"/>
      <c r="D145" s="67">
        <v>3225</v>
      </c>
      <c r="E145" s="67" t="s">
        <v>82</v>
      </c>
      <c r="F145" s="60">
        <v>0</v>
      </c>
      <c r="G145" s="60">
        <v>0</v>
      </c>
      <c r="H145" s="93">
        <v>0</v>
      </c>
    </row>
    <row r="146" spans="2:8" ht="30" customHeight="1" x14ac:dyDescent="0.25">
      <c r="B146" s="65"/>
      <c r="C146" s="66"/>
      <c r="D146" s="67">
        <v>3227</v>
      </c>
      <c r="E146" s="67" t="s">
        <v>83</v>
      </c>
      <c r="F146" s="60">
        <v>0</v>
      </c>
      <c r="G146" s="60">
        <v>0</v>
      </c>
      <c r="H146" s="93">
        <v>0</v>
      </c>
    </row>
    <row r="147" spans="2:8" ht="30" customHeight="1" x14ac:dyDescent="0.25">
      <c r="B147" s="65"/>
      <c r="C147" s="66"/>
      <c r="D147" s="67">
        <v>3232</v>
      </c>
      <c r="E147" s="67" t="s">
        <v>116</v>
      </c>
      <c r="F147" s="60">
        <v>500</v>
      </c>
      <c r="G147" s="60">
        <v>1112.5</v>
      </c>
      <c r="H147" s="93">
        <f t="shared" si="10"/>
        <v>222.5</v>
      </c>
    </row>
    <row r="148" spans="2:8" ht="30" customHeight="1" x14ac:dyDescent="0.25">
      <c r="B148" s="65"/>
      <c r="C148" s="66"/>
      <c r="D148" s="67">
        <v>3234</v>
      </c>
      <c r="E148" s="67" t="s">
        <v>87</v>
      </c>
      <c r="F148" s="60">
        <v>0</v>
      </c>
      <c r="G148" s="60">
        <v>0</v>
      </c>
      <c r="H148" s="93">
        <v>0</v>
      </c>
    </row>
    <row r="149" spans="2:8" ht="30" customHeight="1" x14ac:dyDescent="0.25">
      <c r="B149" s="65"/>
      <c r="C149" s="66"/>
      <c r="D149" s="67">
        <v>3235</v>
      </c>
      <c r="E149" s="67" t="s">
        <v>88</v>
      </c>
      <c r="F149" s="60">
        <v>1000</v>
      </c>
      <c r="G149" s="60">
        <v>787.5</v>
      </c>
      <c r="H149" s="93">
        <f t="shared" si="10"/>
        <v>78.75</v>
      </c>
    </row>
    <row r="150" spans="2:8" ht="30" customHeight="1" x14ac:dyDescent="0.25">
      <c r="B150" s="65"/>
      <c r="C150" s="66"/>
      <c r="D150" s="67">
        <v>3236</v>
      </c>
      <c r="E150" s="67" t="s">
        <v>89</v>
      </c>
      <c r="F150" s="60">
        <v>0</v>
      </c>
      <c r="G150" s="60">
        <v>0</v>
      </c>
      <c r="H150" s="93">
        <v>0</v>
      </c>
    </row>
    <row r="151" spans="2:8" ht="30" customHeight="1" x14ac:dyDescent="0.25">
      <c r="B151" s="65"/>
      <c r="C151" s="66"/>
      <c r="D151" s="67">
        <v>3237</v>
      </c>
      <c r="E151" s="67" t="s">
        <v>90</v>
      </c>
      <c r="F151" s="60">
        <v>219.41</v>
      </c>
      <c r="G151" s="60">
        <v>0</v>
      </c>
      <c r="H151" s="93">
        <f t="shared" si="10"/>
        <v>0</v>
      </c>
    </row>
    <row r="152" spans="2:8" ht="30" customHeight="1" x14ac:dyDescent="0.25">
      <c r="B152" s="65"/>
      <c r="C152" s="66"/>
      <c r="D152" s="67">
        <v>3238</v>
      </c>
      <c r="E152" s="67" t="s">
        <v>91</v>
      </c>
      <c r="F152" s="60">
        <v>0</v>
      </c>
      <c r="G152" s="60">
        <v>0</v>
      </c>
      <c r="H152" s="93">
        <v>0</v>
      </c>
    </row>
    <row r="153" spans="2:8" ht="30" customHeight="1" x14ac:dyDescent="0.25">
      <c r="B153" s="65"/>
      <c r="C153" s="66"/>
      <c r="D153" s="67">
        <v>3239</v>
      </c>
      <c r="E153" s="67" t="s">
        <v>92</v>
      </c>
      <c r="F153" s="60">
        <v>200</v>
      </c>
      <c r="G153" s="60">
        <v>0</v>
      </c>
      <c r="H153" s="93">
        <f t="shared" si="10"/>
        <v>0</v>
      </c>
    </row>
    <row r="154" spans="2:8" ht="30" customHeight="1" x14ac:dyDescent="0.25">
      <c r="B154" s="65"/>
      <c r="C154" s="66"/>
      <c r="D154" s="67">
        <v>3293</v>
      </c>
      <c r="E154" s="67" t="s">
        <v>94</v>
      </c>
      <c r="F154" s="60">
        <v>100</v>
      </c>
      <c r="G154" s="60">
        <v>550</v>
      </c>
      <c r="H154" s="93">
        <f t="shared" si="10"/>
        <v>550</v>
      </c>
    </row>
    <row r="155" spans="2:8" ht="30" customHeight="1" x14ac:dyDescent="0.25">
      <c r="B155" s="177"/>
      <c r="C155" s="178"/>
      <c r="D155" s="179">
        <v>3295</v>
      </c>
      <c r="E155" s="179" t="s">
        <v>130</v>
      </c>
      <c r="F155" s="60">
        <v>963.73</v>
      </c>
      <c r="G155" s="60">
        <v>159.27000000000001</v>
      </c>
      <c r="H155" s="93">
        <f t="shared" si="10"/>
        <v>16.526412999491562</v>
      </c>
    </row>
    <row r="156" spans="2:8" ht="30" customHeight="1" x14ac:dyDescent="0.25">
      <c r="B156" s="65"/>
      <c r="C156" s="66"/>
      <c r="D156" s="67">
        <v>3296</v>
      </c>
      <c r="E156" s="67" t="s">
        <v>127</v>
      </c>
      <c r="F156" s="60">
        <v>5657.38</v>
      </c>
      <c r="G156" s="60">
        <v>0</v>
      </c>
      <c r="H156" s="93">
        <f t="shared" si="10"/>
        <v>0</v>
      </c>
    </row>
    <row r="157" spans="2:8" ht="30" customHeight="1" x14ac:dyDescent="0.25">
      <c r="B157" s="65"/>
      <c r="C157" s="66"/>
      <c r="D157" s="67">
        <v>3299</v>
      </c>
      <c r="E157" s="67" t="s">
        <v>97</v>
      </c>
      <c r="F157" s="60">
        <v>300</v>
      </c>
      <c r="G157" s="60">
        <v>0</v>
      </c>
      <c r="H157" s="93">
        <f t="shared" si="10"/>
        <v>0</v>
      </c>
    </row>
    <row r="158" spans="2:8" ht="30" customHeight="1" x14ac:dyDescent="0.25">
      <c r="B158" s="177"/>
      <c r="C158" s="175">
        <v>34</v>
      </c>
      <c r="D158" s="179"/>
      <c r="E158" s="176" t="s">
        <v>98</v>
      </c>
      <c r="F158" s="64">
        <v>0</v>
      </c>
      <c r="G158" s="64">
        <v>0</v>
      </c>
      <c r="H158" s="93">
        <v>0</v>
      </c>
    </row>
    <row r="159" spans="2:8" ht="30" customHeight="1" x14ac:dyDescent="0.25">
      <c r="B159" s="177"/>
      <c r="C159" s="178"/>
      <c r="D159" s="179">
        <v>3423</v>
      </c>
      <c r="E159" s="179" t="s">
        <v>99</v>
      </c>
      <c r="F159" s="60">
        <v>0</v>
      </c>
      <c r="G159" s="60">
        <v>0</v>
      </c>
      <c r="H159" s="93">
        <v>0</v>
      </c>
    </row>
    <row r="160" spans="2:8" ht="30" customHeight="1" x14ac:dyDescent="0.25">
      <c r="B160" s="77"/>
      <c r="C160" s="78">
        <v>42</v>
      </c>
      <c r="D160" s="79"/>
      <c r="E160" s="79" t="s">
        <v>111</v>
      </c>
      <c r="F160" s="64">
        <v>0</v>
      </c>
      <c r="G160" s="64">
        <v>0</v>
      </c>
      <c r="H160" s="93">
        <v>0</v>
      </c>
    </row>
    <row r="161" spans="2:8" ht="30" customHeight="1" x14ac:dyDescent="0.25">
      <c r="B161" s="80"/>
      <c r="C161" s="81"/>
      <c r="D161" s="82">
        <v>4221</v>
      </c>
      <c r="E161" s="82" t="s">
        <v>131</v>
      </c>
      <c r="F161" s="60">
        <v>14710.83</v>
      </c>
      <c r="G161" s="60">
        <v>4644.38</v>
      </c>
      <c r="H161" s="93">
        <f t="shared" si="10"/>
        <v>31.571162198190038</v>
      </c>
    </row>
    <row r="162" spans="2:8" ht="30" customHeight="1" x14ac:dyDescent="0.25">
      <c r="B162" s="80"/>
      <c r="C162" s="81"/>
      <c r="D162" s="82">
        <v>4221</v>
      </c>
      <c r="E162" s="82" t="s">
        <v>117</v>
      </c>
      <c r="F162" s="60">
        <v>0</v>
      </c>
      <c r="G162" s="60">
        <v>378</v>
      </c>
      <c r="H162" s="93">
        <v>378</v>
      </c>
    </row>
    <row r="163" spans="2:8" ht="30" customHeight="1" x14ac:dyDescent="0.25">
      <c r="B163" s="80"/>
      <c r="C163" s="81"/>
      <c r="D163" s="82">
        <v>4223</v>
      </c>
      <c r="E163" s="82" t="s">
        <v>128</v>
      </c>
      <c r="F163" s="60">
        <v>0</v>
      </c>
      <c r="G163" s="60">
        <v>0</v>
      </c>
      <c r="H163" s="93">
        <v>0</v>
      </c>
    </row>
    <row r="164" spans="2:8" ht="30" customHeight="1" x14ac:dyDescent="0.25">
      <c r="B164" s="80"/>
      <c r="C164" s="81"/>
      <c r="D164" s="82">
        <v>4227</v>
      </c>
      <c r="E164" s="82" t="s">
        <v>112</v>
      </c>
      <c r="F164" s="60">
        <v>700</v>
      </c>
      <c r="G164" s="60">
        <v>156.65</v>
      </c>
      <c r="H164" s="93">
        <f t="shared" si="10"/>
        <v>22.37857142857143</v>
      </c>
    </row>
    <row r="165" spans="2:8" ht="30" customHeight="1" x14ac:dyDescent="0.25">
      <c r="B165" s="80"/>
      <c r="C165" s="81"/>
      <c r="D165" s="82">
        <v>4241</v>
      </c>
      <c r="E165" s="82" t="s">
        <v>129</v>
      </c>
      <c r="F165" s="60">
        <v>0</v>
      </c>
      <c r="G165" s="60">
        <v>0</v>
      </c>
      <c r="H165" s="93">
        <v>0</v>
      </c>
    </row>
    <row r="166" spans="2:8" ht="30.75" customHeight="1" x14ac:dyDescent="0.25">
      <c r="B166" s="70">
        <v>51</v>
      </c>
      <c r="C166" s="71"/>
      <c r="D166" s="72"/>
      <c r="E166" s="72" t="s">
        <v>65</v>
      </c>
      <c r="F166" s="64">
        <f>+F167+F171</f>
        <v>2979.2200000000003</v>
      </c>
      <c r="G166" s="64">
        <f>+G167+G171</f>
        <v>2663.77</v>
      </c>
      <c r="H166" s="94">
        <f t="shared" si="10"/>
        <v>89.411658085002117</v>
      </c>
    </row>
    <row r="167" spans="2:8" ht="30" customHeight="1" x14ac:dyDescent="0.25">
      <c r="B167" s="70"/>
      <c r="C167" s="71">
        <v>32</v>
      </c>
      <c r="D167" s="72"/>
      <c r="E167" s="72" t="s">
        <v>11</v>
      </c>
      <c r="F167" s="64">
        <f>+F168+F169+F170</f>
        <v>2439.2200000000003</v>
      </c>
      <c r="G167" s="64">
        <f>+G168+G169+G170</f>
        <v>2223.77</v>
      </c>
      <c r="H167" s="94">
        <f t="shared" si="10"/>
        <v>91.167258385877446</v>
      </c>
    </row>
    <row r="168" spans="2:8" ht="30" customHeight="1" x14ac:dyDescent="0.25">
      <c r="B168" s="70"/>
      <c r="C168" s="71"/>
      <c r="D168" s="67">
        <v>3221</v>
      </c>
      <c r="E168" s="67" t="s">
        <v>125</v>
      </c>
      <c r="F168" s="60">
        <v>1439.22</v>
      </c>
      <c r="G168" s="60">
        <v>1783.77</v>
      </c>
      <c r="H168" s="93">
        <f t="shared" si="10"/>
        <v>123.94005086088298</v>
      </c>
    </row>
    <row r="169" spans="2:8" ht="30" customHeight="1" x14ac:dyDescent="0.25">
      <c r="B169" s="65"/>
      <c r="C169" s="66"/>
      <c r="D169" s="67">
        <v>3229</v>
      </c>
      <c r="E169" s="67" t="s">
        <v>97</v>
      </c>
      <c r="F169" s="60">
        <v>0</v>
      </c>
      <c r="G169" s="60">
        <v>0</v>
      </c>
      <c r="H169" s="93">
        <v>0</v>
      </c>
    </row>
    <row r="170" spans="2:8" ht="30" customHeight="1" x14ac:dyDescent="0.25">
      <c r="B170" s="65"/>
      <c r="C170" s="66"/>
      <c r="D170" s="67">
        <v>3295</v>
      </c>
      <c r="E170" s="67" t="s">
        <v>130</v>
      </c>
      <c r="F170" s="60">
        <v>1000</v>
      </c>
      <c r="G170" s="60">
        <v>440</v>
      </c>
      <c r="H170" s="93">
        <f t="shared" ref="H170:H188" si="11">(G170/F170)*100</f>
        <v>44</v>
      </c>
    </row>
    <row r="171" spans="2:8" ht="30" customHeight="1" x14ac:dyDescent="0.25">
      <c r="B171" s="80"/>
      <c r="C171" s="78">
        <v>42</v>
      </c>
      <c r="D171" s="79"/>
      <c r="E171" s="79" t="s">
        <v>111</v>
      </c>
      <c r="F171" s="64">
        <f>+F172</f>
        <v>540</v>
      </c>
      <c r="G171" s="64">
        <f>+G172</f>
        <v>440</v>
      </c>
      <c r="H171" s="94">
        <f t="shared" si="11"/>
        <v>81.481481481481481</v>
      </c>
    </row>
    <row r="172" spans="2:8" ht="30" customHeight="1" x14ac:dyDescent="0.25">
      <c r="B172" s="80"/>
      <c r="C172" s="81"/>
      <c r="D172" s="82">
        <v>4241</v>
      </c>
      <c r="E172" s="82" t="s">
        <v>129</v>
      </c>
      <c r="F172" s="60">
        <v>540</v>
      </c>
      <c r="G172" s="60">
        <v>440</v>
      </c>
      <c r="H172" s="93">
        <f t="shared" si="11"/>
        <v>81.481481481481481</v>
      </c>
    </row>
    <row r="173" spans="2:8" ht="30.75" customHeight="1" x14ac:dyDescent="0.25">
      <c r="B173" s="70">
        <v>53</v>
      </c>
      <c r="C173" s="71"/>
      <c r="D173" s="72"/>
      <c r="E173" s="72" t="s">
        <v>66</v>
      </c>
      <c r="F173" s="64">
        <f>SUM(F174,F177,F182)</f>
        <v>6500</v>
      </c>
      <c r="G173" s="64">
        <f>SUM(G174,G177,G182)</f>
        <v>9754.82</v>
      </c>
      <c r="H173" s="94">
        <f t="shared" si="11"/>
        <v>150.07415384615385</v>
      </c>
    </row>
    <row r="174" spans="2:8" ht="30.75" customHeight="1" x14ac:dyDescent="0.25">
      <c r="B174" s="174"/>
      <c r="C174" s="175">
        <v>31</v>
      </c>
      <c r="D174" s="176"/>
      <c r="E174" s="176" t="s">
        <v>11</v>
      </c>
      <c r="F174" s="64">
        <f>SUM(F175:F176)</f>
        <v>0</v>
      </c>
      <c r="G174" s="64">
        <f>SUM(G175:G176)</f>
        <v>0</v>
      </c>
      <c r="H174" s="94">
        <v>0</v>
      </c>
    </row>
    <row r="175" spans="2:8" ht="30.75" customHeight="1" x14ac:dyDescent="0.25">
      <c r="B175" s="174"/>
      <c r="C175" s="175"/>
      <c r="D175" s="179">
        <v>3111</v>
      </c>
      <c r="E175" s="179" t="s">
        <v>31</v>
      </c>
      <c r="F175" s="60">
        <v>0</v>
      </c>
      <c r="G175" s="60">
        <v>0</v>
      </c>
      <c r="H175" s="94">
        <v>0</v>
      </c>
    </row>
    <row r="176" spans="2:8" ht="30.75" customHeight="1" x14ac:dyDescent="0.25">
      <c r="B176" s="174"/>
      <c r="C176" s="175"/>
      <c r="D176" s="179">
        <v>3132</v>
      </c>
      <c r="E176" s="179" t="s">
        <v>108</v>
      </c>
      <c r="F176" s="60">
        <v>0</v>
      </c>
      <c r="G176" s="60">
        <v>0</v>
      </c>
      <c r="H176" s="94">
        <v>0</v>
      </c>
    </row>
    <row r="177" spans="2:8" ht="30" customHeight="1" x14ac:dyDescent="0.25">
      <c r="B177" s="70"/>
      <c r="C177" s="71">
        <v>32</v>
      </c>
      <c r="D177" s="72"/>
      <c r="E177" s="72" t="s">
        <v>11</v>
      </c>
      <c r="F177" s="64">
        <f>F178+F180+F181</f>
        <v>3000</v>
      </c>
      <c r="G177" s="64">
        <f>G178+G180+G181</f>
        <v>6554.82</v>
      </c>
      <c r="H177" s="94">
        <f t="shared" si="11"/>
        <v>218.494</v>
      </c>
    </row>
    <row r="178" spans="2:8" ht="30" customHeight="1" x14ac:dyDescent="0.25">
      <c r="B178" s="174"/>
      <c r="C178" s="175"/>
      <c r="D178" s="179">
        <v>3232</v>
      </c>
      <c r="E178" s="179" t="s">
        <v>116</v>
      </c>
      <c r="F178" s="60">
        <v>0</v>
      </c>
      <c r="G178" s="60">
        <v>4316.82</v>
      </c>
      <c r="H178" s="94">
        <v>4316</v>
      </c>
    </row>
    <row r="179" spans="2:8" ht="30" customHeight="1" x14ac:dyDescent="0.25">
      <c r="B179" s="189"/>
      <c r="C179" s="190"/>
      <c r="D179" s="194">
        <v>3235</v>
      </c>
      <c r="E179" s="194" t="s">
        <v>88</v>
      </c>
      <c r="F179" s="60">
        <v>0</v>
      </c>
      <c r="G179" s="60">
        <v>700</v>
      </c>
      <c r="H179" s="94">
        <v>700</v>
      </c>
    </row>
    <row r="180" spans="2:8" ht="30" customHeight="1" x14ac:dyDescent="0.25">
      <c r="B180" s="65"/>
      <c r="C180" s="66"/>
      <c r="D180" s="67">
        <v>3237</v>
      </c>
      <c r="E180" s="67" t="s">
        <v>90</v>
      </c>
      <c r="F180" s="60">
        <v>1500</v>
      </c>
      <c r="G180" s="60">
        <v>1200</v>
      </c>
      <c r="H180" s="93">
        <f t="shared" si="11"/>
        <v>80</v>
      </c>
    </row>
    <row r="181" spans="2:8" ht="30" customHeight="1" x14ac:dyDescent="0.25">
      <c r="B181" s="65"/>
      <c r="C181" s="66"/>
      <c r="D181" s="67">
        <v>3299</v>
      </c>
      <c r="E181" s="67" t="s">
        <v>97</v>
      </c>
      <c r="F181" s="60">
        <v>1500</v>
      </c>
      <c r="G181" s="60">
        <v>1038</v>
      </c>
      <c r="H181" s="93">
        <f t="shared" si="11"/>
        <v>69.199999999999989</v>
      </c>
    </row>
    <row r="182" spans="2:8" ht="30" customHeight="1" x14ac:dyDescent="0.25">
      <c r="B182" s="177"/>
      <c r="C182" s="175">
        <v>37</v>
      </c>
      <c r="D182" s="179"/>
      <c r="E182" s="176" t="s">
        <v>134</v>
      </c>
      <c r="F182" s="64">
        <f>SUM(F183)</f>
        <v>3500</v>
      </c>
      <c r="G182" s="64">
        <f>SUM(G183)</f>
        <v>3200</v>
      </c>
      <c r="H182" s="93">
        <f t="shared" si="11"/>
        <v>91.428571428571431</v>
      </c>
    </row>
    <row r="183" spans="2:8" ht="30" customHeight="1" x14ac:dyDescent="0.25">
      <c r="B183" s="177"/>
      <c r="C183" s="178"/>
      <c r="D183" s="179">
        <v>3721</v>
      </c>
      <c r="E183" s="179" t="s">
        <v>135</v>
      </c>
      <c r="F183" s="60">
        <v>3500</v>
      </c>
      <c r="G183" s="60">
        <v>3200</v>
      </c>
      <c r="H183" s="93">
        <f t="shared" si="11"/>
        <v>91.428571428571431</v>
      </c>
    </row>
    <row r="184" spans="2:8" ht="30.75" customHeight="1" x14ac:dyDescent="0.25">
      <c r="B184" s="70">
        <v>61</v>
      </c>
      <c r="C184" s="71"/>
      <c r="D184" s="72"/>
      <c r="E184" s="72" t="s">
        <v>68</v>
      </c>
      <c r="F184" s="64">
        <v>10000</v>
      </c>
      <c r="G184" s="64"/>
      <c r="H184" s="94">
        <f t="shared" si="11"/>
        <v>0</v>
      </c>
    </row>
    <row r="185" spans="2:8" ht="30" customHeight="1" x14ac:dyDescent="0.25">
      <c r="B185" s="70"/>
      <c r="C185" s="71">
        <v>32</v>
      </c>
      <c r="D185" s="72"/>
      <c r="E185" s="72" t="s">
        <v>11</v>
      </c>
      <c r="F185" s="64">
        <v>10000</v>
      </c>
      <c r="G185" s="64"/>
      <c r="H185" s="94">
        <f t="shared" si="11"/>
        <v>0</v>
      </c>
    </row>
    <row r="186" spans="2:8" ht="30" customHeight="1" x14ac:dyDescent="0.25">
      <c r="B186" s="189"/>
      <c r="C186" s="190"/>
      <c r="D186" s="194">
        <v>3211</v>
      </c>
      <c r="E186" s="194" t="s">
        <v>242</v>
      </c>
      <c r="F186" s="60">
        <v>5000</v>
      </c>
      <c r="G186" s="60">
        <v>3585.44</v>
      </c>
      <c r="H186" s="93">
        <v>71.709999999999994</v>
      </c>
    </row>
    <row r="187" spans="2:8" ht="30" customHeight="1" x14ac:dyDescent="0.25">
      <c r="B187" s="65"/>
      <c r="C187" s="66"/>
      <c r="D187" s="67">
        <v>3237</v>
      </c>
      <c r="E187" s="67" t="s">
        <v>90</v>
      </c>
      <c r="F187" s="60">
        <v>0</v>
      </c>
      <c r="G187" s="60">
        <v>0</v>
      </c>
      <c r="H187" s="93">
        <v>0</v>
      </c>
    </row>
    <row r="188" spans="2:8" ht="30" customHeight="1" x14ac:dyDescent="0.25">
      <c r="B188" s="192"/>
      <c r="C188" s="193"/>
      <c r="D188" s="194">
        <v>3299</v>
      </c>
      <c r="E188" s="194" t="s">
        <v>97</v>
      </c>
      <c r="F188" s="60">
        <v>5000</v>
      </c>
      <c r="G188" s="60">
        <v>4810</v>
      </c>
      <c r="H188" s="93">
        <f t="shared" si="11"/>
        <v>96.2</v>
      </c>
    </row>
    <row r="189" spans="2:8" ht="30" customHeight="1" x14ac:dyDescent="0.25">
      <c r="B189" s="192"/>
      <c r="C189" s="190">
        <v>37</v>
      </c>
      <c r="D189" s="194"/>
      <c r="E189" s="191" t="s">
        <v>243</v>
      </c>
      <c r="F189" s="60">
        <v>0</v>
      </c>
      <c r="G189" s="64">
        <v>320</v>
      </c>
      <c r="H189" s="93">
        <v>0</v>
      </c>
    </row>
    <row r="190" spans="2:8" ht="30" customHeight="1" x14ac:dyDescent="0.25">
      <c r="B190" s="192"/>
      <c r="C190" s="193"/>
      <c r="D190" s="194">
        <v>3721</v>
      </c>
      <c r="E190" s="194" t="s">
        <v>243</v>
      </c>
      <c r="F190" s="60">
        <v>0</v>
      </c>
      <c r="G190" s="60">
        <v>320</v>
      </c>
      <c r="H190" s="93">
        <v>320</v>
      </c>
    </row>
    <row r="191" spans="2:8" ht="30" customHeight="1" x14ac:dyDescent="0.25">
      <c r="B191" s="251" t="s">
        <v>132</v>
      </c>
      <c r="C191" s="252"/>
      <c r="D191" s="253"/>
      <c r="E191" s="84" t="s">
        <v>133</v>
      </c>
      <c r="F191" s="85">
        <f t="shared" ref="F191:G193" si="12">+F192</f>
        <v>2873.26</v>
      </c>
      <c r="G191" s="85">
        <f t="shared" si="12"/>
        <v>2873.26</v>
      </c>
      <c r="H191" s="86">
        <f>(G191/F191)*100</f>
        <v>100</v>
      </c>
    </row>
    <row r="192" spans="2:8" ht="30.75" customHeight="1" x14ac:dyDescent="0.25">
      <c r="B192" s="77">
        <v>11</v>
      </c>
      <c r="C192" s="78"/>
      <c r="D192" s="79"/>
      <c r="E192" s="79" t="s">
        <v>59</v>
      </c>
      <c r="F192" s="63">
        <f t="shared" ref="F192" si="13">+F193</f>
        <v>2873.26</v>
      </c>
      <c r="G192" s="63">
        <f t="shared" si="12"/>
        <v>2873.26</v>
      </c>
      <c r="H192" s="94">
        <f t="shared" ref="H192:H194" si="14">(G192/F192)*100</f>
        <v>100</v>
      </c>
    </row>
    <row r="193" spans="2:8" ht="30" customHeight="1" x14ac:dyDescent="0.25">
      <c r="B193" s="77"/>
      <c r="C193" s="78">
        <v>37</v>
      </c>
      <c r="D193" s="79"/>
      <c r="E193" s="79" t="s">
        <v>134</v>
      </c>
      <c r="F193" s="63">
        <f t="shared" ref="F193" si="15">+F194</f>
        <v>2873.26</v>
      </c>
      <c r="G193" s="63">
        <f t="shared" si="12"/>
        <v>2873.26</v>
      </c>
      <c r="H193" s="94">
        <f t="shared" si="14"/>
        <v>100</v>
      </c>
    </row>
    <row r="194" spans="2:8" ht="30" customHeight="1" x14ac:dyDescent="0.25">
      <c r="B194" s="80"/>
      <c r="C194" s="81"/>
      <c r="D194" s="82">
        <v>3721</v>
      </c>
      <c r="E194" s="82" t="s">
        <v>135</v>
      </c>
      <c r="F194" s="60">
        <v>2873.26</v>
      </c>
      <c r="G194" s="60">
        <v>2873.26</v>
      </c>
      <c r="H194" s="93">
        <f t="shared" si="14"/>
        <v>100</v>
      </c>
    </row>
    <row r="195" spans="2:8" ht="30" customHeight="1" x14ac:dyDescent="0.25">
      <c r="B195" s="251" t="s">
        <v>136</v>
      </c>
      <c r="C195" s="252"/>
      <c r="D195" s="253"/>
      <c r="E195" s="84" t="s">
        <v>137</v>
      </c>
      <c r="F195" s="85">
        <f t="shared" ref="F195:G197" si="16">+F196</f>
        <v>730.02</v>
      </c>
      <c r="G195" s="85">
        <f t="shared" si="16"/>
        <v>729.96</v>
      </c>
      <c r="H195" s="86">
        <f>(G195/F195)*100</f>
        <v>99.991781047094605</v>
      </c>
    </row>
    <row r="196" spans="2:8" ht="30.75" customHeight="1" x14ac:dyDescent="0.25">
      <c r="B196" s="77">
        <v>11</v>
      </c>
      <c r="C196" s="78"/>
      <c r="D196" s="79"/>
      <c r="E196" s="79" t="s">
        <v>59</v>
      </c>
      <c r="F196" s="63">
        <f t="shared" si="16"/>
        <v>730.02</v>
      </c>
      <c r="G196" s="63">
        <f t="shared" si="16"/>
        <v>729.96</v>
      </c>
      <c r="H196" s="94">
        <f t="shared" ref="H196:H198" si="17">(G196/F196)*100</f>
        <v>99.991781047094605</v>
      </c>
    </row>
    <row r="197" spans="2:8" ht="30" customHeight="1" x14ac:dyDescent="0.25">
      <c r="B197" s="77"/>
      <c r="C197" s="78">
        <v>32</v>
      </c>
      <c r="D197" s="79"/>
      <c r="E197" s="79" t="s">
        <v>11</v>
      </c>
      <c r="F197" s="63">
        <f t="shared" si="16"/>
        <v>730.02</v>
      </c>
      <c r="G197" s="63">
        <f t="shared" si="16"/>
        <v>729.96</v>
      </c>
      <c r="H197" s="94">
        <f t="shared" si="17"/>
        <v>99.991781047094605</v>
      </c>
    </row>
    <row r="198" spans="2:8" ht="30" customHeight="1" x14ac:dyDescent="0.25">
      <c r="B198" s="80"/>
      <c r="C198" s="81"/>
      <c r="D198" s="82">
        <v>3237</v>
      </c>
      <c r="E198" s="82" t="s">
        <v>90</v>
      </c>
      <c r="F198" s="60">
        <v>730.02</v>
      </c>
      <c r="G198" s="60">
        <v>729.96</v>
      </c>
      <c r="H198" s="93">
        <f t="shared" si="17"/>
        <v>99.991781047094605</v>
      </c>
    </row>
    <row r="199" spans="2:8" ht="30" customHeight="1" x14ac:dyDescent="0.25">
      <c r="B199" s="251" t="s">
        <v>138</v>
      </c>
      <c r="C199" s="252"/>
      <c r="D199" s="253"/>
      <c r="E199" s="84" t="s">
        <v>139</v>
      </c>
      <c r="F199" s="85">
        <v>24937.5</v>
      </c>
      <c r="G199" s="85">
        <f t="shared" ref="F199:G201" si="18">+G200</f>
        <v>15250</v>
      </c>
      <c r="H199" s="86">
        <f>(G199/F199)*100</f>
        <v>61.152882205513784</v>
      </c>
    </row>
    <row r="200" spans="2:8" ht="30.75" customHeight="1" x14ac:dyDescent="0.25">
      <c r="B200" s="77">
        <v>11</v>
      </c>
      <c r="C200" s="78"/>
      <c r="D200" s="79"/>
      <c r="E200" s="79" t="s">
        <v>59</v>
      </c>
      <c r="F200" s="63">
        <f t="shared" si="18"/>
        <v>15250</v>
      </c>
      <c r="G200" s="63">
        <f t="shared" si="18"/>
        <v>15250</v>
      </c>
      <c r="H200" s="94">
        <f t="shared" ref="H200:H202" si="19">(G200/F200)*100</f>
        <v>100</v>
      </c>
    </row>
    <row r="201" spans="2:8" ht="30" customHeight="1" x14ac:dyDescent="0.25">
      <c r="B201" s="77"/>
      <c r="C201" s="78">
        <v>42</v>
      </c>
      <c r="D201" s="79"/>
      <c r="E201" s="79" t="s">
        <v>111</v>
      </c>
      <c r="F201" s="63">
        <f t="shared" si="18"/>
        <v>15250</v>
      </c>
      <c r="G201" s="63">
        <f t="shared" si="18"/>
        <v>15250</v>
      </c>
      <c r="H201" s="94">
        <f t="shared" si="19"/>
        <v>100</v>
      </c>
    </row>
    <row r="202" spans="2:8" ht="30" customHeight="1" x14ac:dyDescent="0.25">
      <c r="B202" s="80"/>
      <c r="C202" s="81"/>
      <c r="D202" s="82">
        <v>4264</v>
      </c>
      <c r="E202" s="82" t="s">
        <v>244</v>
      </c>
      <c r="F202" s="60">
        <v>15250</v>
      </c>
      <c r="G202" s="60">
        <v>15250</v>
      </c>
      <c r="H202" s="93">
        <f t="shared" si="19"/>
        <v>100</v>
      </c>
    </row>
    <row r="203" spans="2:8" ht="30" customHeight="1" x14ac:dyDescent="0.25">
      <c r="B203" s="189">
        <v>12</v>
      </c>
      <c r="C203" s="193"/>
      <c r="D203" s="194"/>
      <c r="E203" s="191" t="s">
        <v>245</v>
      </c>
      <c r="F203" s="63">
        <v>9687.5</v>
      </c>
      <c r="G203" s="59">
        <v>0</v>
      </c>
      <c r="H203" s="93"/>
    </row>
    <row r="204" spans="2:8" ht="30" customHeight="1" x14ac:dyDescent="0.25">
      <c r="B204" s="192"/>
      <c r="C204" s="190">
        <v>42</v>
      </c>
      <c r="D204" s="191"/>
      <c r="E204" s="191" t="s">
        <v>111</v>
      </c>
      <c r="F204" s="59">
        <v>9687.5</v>
      </c>
      <c r="G204" s="59">
        <v>0</v>
      </c>
      <c r="H204" s="93"/>
    </row>
    <row r="205" spans="2:8" ht="30" customHeight="1" x14ac:dyDescent="0.25">
      <c r="B205" s="192"/>
      <c r="C205" s="193"/>
      <c r="D205" s="194">
        <v>4264</v>
      </c>
      <c r="E205" s="194" t="s">
        <v>244</v>
      </c>
      <c r="F205" s="59">
        <v>9687.5</v>
      </c>
      <c r="G205" s="59">
        <v>0</v>
      </c>
      <c r="H205" s="93"/>
    </row>
    <row r="206" spans="2:8" ht="30" customHeight="1" x14ac:dyDescent="0.25">
      <c r="B206" s="251" t="s">
        <v>140</v>
      </c>
      <c r="C206" s="252"/>
      <c r="D206" s="253"/>
      <c r="E206" s="84" t="s">
        <v>141</v>
      </c>
      <c r="F206" s="85">
        <f t="shared" ref="F206:G208" si="20">+F207</f>
        <v>566.54</v>
      </c>
      <c r="G206" s="85">
        <f t="shared" si="20"/>
        <v>566.54</v>
      </c>
      <c r="H206" s="86">
        <f>(G206/F206)*100</f>
        <v>100</v>
      </c>
    </row>
    <row r="207" spans="2:8" ht="30" customHeight="1" x14ac:dyDescent="0.25">
      <c r="B207" s="77">
        <v>51</v>
      </c>
      <c r="C207" s="78"/>
      <c r="D207" s="79"/>
      <c r="E207" s="79" t="s">
        <v>65</v>
      </c>
      <c r="F207" s="63">
        <f t="shared" ref="F207" si="21">+F208</f>
        <v>566.54</v>
      </c>
      <c r="G207" s="63">
        <f t="shared" si="20"/>
        <v>566.54</v>
      </c>
      <c r="H207" s="94">
        <f t="shared" ref="H207:H223" si="22">(G207/F207)*100</f>
        <v>100</v>
      </c>
    </row>
    <row r="208" spans="2:8" ht="30" customHeight="1" x14ac:dyDescent="0.25">
      <c r="B208" s="80"/>
      <c r="C208" s="112">
        <v>38</v>
      </c>
      <c r="D208" s="117"/>
      <c r="E208" s="117" t="s">
        <v>201</v>
      </c>
      <c r="F208" s="118">
        <f t="shared" ref="F208" si="23">+F209</f>
        <v>566.54</v>
      </c>
      <c r="G208" s="118">
        <f t="shared" si="20"/>
        <v>566.54</v>
      </c>
      <c r="H208" s="119">
        <f t="shared" si="22"/>
        <v>100</v>
      </c>
    </row>
    <row r="209" spans="2:8" ht="30" customHeight="1" x14ac:dyDescent="0.25">
      <c r="B209" s="80"/>
      <c r="C209" s="81"/>
      <c r="D209" s="82">
        <v>3812</v>
      </c>
      <c r="E209" s="82" t="s">
        <v>246</v>
      </c>
      <c r="F209" s="60">
        <v>566.54</v>
      </c>
      <c r="G209" s="60">
        <v>566.54</v>
      </c>
      <c r="H209" s="93">
        <f t="shared" si="22"/>
        <v>100</v>
      </c>
    </row>
    <row r="210" spans="2:8" ht="30" customHeight="1" x14ac:dyDescent="0.25">
      <c r="B210" s="251" t="s">
        <v>226</v>
      </c>
      <c r="C210" s="252"/>
      <c r="D210" s="253"/>
      <c r="E210" s="173" t="s">
        <v>227</v>
      </c>
      <c r="F210" s="63">
        <f t="shared" ref="F210:G212" si="24">SUM(F211)</f>
        <v>0</v>
      </c>
      <c r="G210" s="63">
        <v>5014.5600000000004</v>
      </c>
      <c r="H210" s="93">
        <v>5014.5600000000004</v>
      </c>
    </row>
    <row r="211" spans="2:8" ht="30" customHeight="1" x14ac:dyDescent="0.25">
      <c r="B211" s="174">
        <v>61</v>
      </c>
      <c r="C211" s="178"/>
      <c r="D211" s="179"/>
      <c r="E211" s="176" t="s">
        <v>228</v>
      </c>
      <c r="F211" s="59">
        <f t="shared" si="24"/>
        <v>0</v>
      </c>
      <c r="G211" s="59">
        <f t="shared" si="24"/>
        <v>1590.56</v>
      </c>
      <c r="H211" s="93">
        <v>1590</v>
      </c>
    </row>
    <row r="212" spans="2:8" ht="30" customHeight="1" x14ac:dyDescent="0.25">
      <c r="B212" s="177"/>
      <c r="C212" s="175">
        <v>32</v>
      </c>
      <c r="D212" s="179"/>
      <c r="E212" s="176" t="s">
        <v>11</v>
      </c>
      <c r="F212" s="59">
        <f t="shared" si="24"/>
        <v>0</v>
      </c>
      <c r="G212" s="59">
        <f t="shared" si="24"/>
        <v>1590.56</v>
      </c>
      <c r="H212" s="93">
        <v>1590</v>
      </c>
    </row>
    <row r="213" spans="2:8" ht="30" customHeight="1" x14ac:dyDescent="0.25">
      <c r="B213" s="177"/>
      <c r="C213" s="178"/>
      <c r="D213" s="179">
        <v>3121</v>
      </c>
      <c r="E213" s="179" t="s">
        <v>33</v>
      </c>
      <c r="F213" s="59">
        <v>0</v>
      </c>
      <c r="G213" s="59">
        <v>1590.56</v>
      </c>
      <c r="H213" s="93">
        <v>1590</v>
      </c>
    </row>
    <row r="214" spans="2:8" ht="30" customHeight="1" x14ac:dyDescent="0.25">
      <c r="B214" s="189">
        <v>42</v>
      </c>
      <c r="C214" s="193"/>
      <c r="D214" s="194"/>
      <c r="E214" s="191" t="s">
        <v>111</v>
      </c>
      <c r="F214" s="59">
        <v>0</v>
      </c>
      <c r="G214" s="59">
        <v>3424</v>
      </c>
      <c r="H214" s="93">
        <v>0</v>
      </c>
    </row>
    <row r="215" spans="2:8" ht="30" customHeight="1" x14ac:dyDescent="0.25">
      <c r="B215" s="189"/>
      <c r="C215" s="193"/>
      <c r="D215" s="194">
        <v>4221</v>
      </c>
      <c r="E215" s="191" t="s">
        <v>131</v>
      </c>
      <c r="F215" s="59">
        <v>0</v>
      </c>
      <c r="G215" s="59">
        <v>3424</v>
      </c>
      <c r="H215" s="93">
        <v>0</v>
      </c>
    </row>
    <row r="216" spans="2:8" ht="30" customHeight="1" x14ac:dyDescent="0.25">
      <c r="B216" s="88" t="s">
        <v>142</v>
      </c>
      <c r="C216" s="89"/>
      <c r="D216" s="90"/>
      <c r="E216" s="90" t="s">
        <v>143</v>
      </c>
      <c r="F216" s="91">
        <f>+F217</f>
        <v>18128.11</v>
      </c>
      <c r="G216" s="91">
        <f>+G217</f>
        <v>19780.349999999999</v>
      </c>
      <c r="H216" s="92">
        <f t="shared" si="22"/>
        <v>109.11424301816348</v>
      </c>
    </row>
    <row r="217" spans="2:8" ht="30" customHeight="1" x14ac:dyDescent="0.25">
      <c r="B217" s="251" t="s">
        <v>144</v>
      </c>
      <c r="C217" s="252"/>
      <c r="D217" s="253"/>
      <c r="E217" s="84" t="s">
        <v>145</v>
      </c>
      <c r="F217" s="85">
        <f t="shared" ref="F217:G218" si="25">+F218</f>
        <v>18128.11</v>
      </c>
      <c r="G217" s="85">
        <f t="shared" si="25"/>
        <v>19780.349999999999</v>
      </c>
      <c r="H217" s="86">
        <f t="shared" ref="H217:H218" si="26">(G217/F217)*100</f>
        <v>109.11424301816348</v>
      </c>
    </row>
    <row r="218" spans="2:8" ht="30" customHeight="1" x14ac:dyDescent="0.25">
      <c r="B218" s="77">
        <v>11</v>
      </c>
      <c r="C218" s="78"/>
      <c r="D218" s="79"/>
      <c r="E218" s="79" t="s">
        <v>59</v>
      </c>
      <c r="F218" s="63">
        <f t="shared" si="25"/>
        <v>18128.11</v>
      </c>
      <c r="G218" s="63">
        <f t="shared" si="25"/>
        <v>19780.349999999999</v>
      </c>
      <c r="H218" s="64">
        <f t="shared" si="26"/>
        <v>109.11424301816348</v>
      </c>
    </row>
    <row r="219" spans="2:8" ht="30" customHeight="1" x14ac:dyDescent="0.25">
      <c r="B219" s="77"/>
      <c r="C219" s="78">
        <v>31</v>
      </c>
      <c r="D219" s="82"/>
      <c r="E219" s="79" t="s">
        <v>5</v>
      </c>
      <c r="F219" s="59">
        <f t="shared" ref="F219:G219" si="27">+F220+F221+F222+F223</f>
        <v>18128.11</v>
      </c>
      <c r="G219" s="59">
        <f t="shared" si="27"/>
        <v>19780.349999999999</v>
      </c>
      <c r="H219" s="93">
        <f t="shared" si="22"/>
        <v>109.11424301816348</v>
      </c>
    </row>
    <row r="220" spans="2:8" ht="30" customHeight="1" x14ac:dyDescent="0.25">
      <c r="B220" s="80"/>
      <c r="C220" s="81"/>
      <c r="D220" s="82">
        <v>3111</v>
      </c>
      <c r="E220" s="82" t="s">
        <v>31</v>
      </c>
      <c r="F220" s="60">
        <v>14105</v>
      </c>
      <c r="G220" s="60">
        <v>15473.5</v>
      </c>
      <c r="H220" s="93">
        <f t="shared" si="22"/>
        <v>109.70223325062034</v>
      </c>
    </row>
    <row r="221" spans="2:8" ht="30" customHeight="1" x14ac:dyDescent="0.25">
      <c r="B221" s="80"/>
      <c r="C221" s="81"/>
      <c r="D221" s="82">
        <v>3121</v>
      </c>
      <c r="E221" s="82" t="s">
        <v>107</v>
      </c>
      <c r="F221" s="60">
        <v>900</v>
      </c>
      <c r="G221" s="60">
        <v>900</v>
      </c>
      <c r="H221" s="93">
        <f t="shared" si="22"/>
        <v>100</v>
      </c>
    </row>
    <row r="222" spans="2:8" ht="30" customHeight="1" x14ac:dyDescent="0.25">
      <c r="B222" s="80"/>
      <c r="C222" s="81"/>
      <c r="D222" s="82">
        <v>3132</v>
      </c>
      <c r="E222" s="82" t="s">
        <v>108</v>
      </c>
      <c r="F222" s="60">
        <v>2327.34</v>
      </c>
      <c r="G222" s="60">
        <v>2553.14</v>
      </c>
      <c r="H222" s="93">
        <f t="shared" si="22"/>
        <v>109.70206329973273</v>
      </c>
    </row>
    <row r="223" spans="2:8" ht="30" customHeight="1" x14ac:dyDescent="0.25">
      <c r="B223" s="80"/>
      <c r="C223" s="81"/>
      <c r="D223" s="82">
        <v>3212</v>
      </c>
      <c r="E223" s="82" t="s">
        <v>75</v>
      </c>
      <c r="F223" s="60">
        <v>795.77</v>
      </c>
      <c r="G223" s="60">
        <v>853.71</v>
      </c>
      <c r="H223" s="93">
        <f t="shared" si="22"/>
        <v>107.28099827839704</v>
      </c>
    </row>
    <row r="224" spans="2:8" ht="30" customHeight="1" x14ac:dyDescent="0.25">
      <c r="B224" s="88" t="s">
        <v>146</v>
      </c>
      <c r="C224" s="89"/>
      <c r="D224" s="90"/>
      <c r="E224" s="90" t="s">
        <v>147</v>
      </c>
      <c r="F224" s="91">
        <f>SUM(F225)</f>
        <v>0</v>
      </c>
      <c r="G224" s="91">
        <f>SUM(G225)</f>
        <v>451.25</v>
      </c>
      <c r="H224" s="98">
        <v>451.25</v>
      </c>
    </row>
    <row r="225" spans="2:8" ht="30" customHeight="1" x14ac:dyDescent="0.25">
      <c r="B225" s="251" t="s">
        <v>148</v>
      </c>
      <c r="C225" s="252"/>
      <c r="D225" s="253"/>
      <c r="E225" s="84" t="s">
        <v>149</v>
      </c>
      <c r="F225" s="85">
        <f>+F226+F232+F238</f>
        <v>0</v>
      </c>
      <c r="G225" s="85">
        <f>+G226+G232+G238</f>
        <v>451.25</v>
      </c>
      <c r="H225" s="86">
        <v>451.25</v>
      </c>
    </row>
    <row r="226" spans="2:8" ht="30" customHeight="1" x14ac:dyDescent="0.25">
      <c r="B226" s="95">
        <v>42</v>
      </c>
      <c r="C226" s="96"/>
      <c r="D226" s="97"/>
      <c r="E226" s="79" t="s">
        <v>63</v>
      </c>
      <c r="F226" s="64">
        <f t="shared" ref="F226:G226" si="28">+F229</f>
        <v>0</v>
      </c>
      <c r="G226" s="64">
        <f t="shared" si="28"/>
        <v>451.25</v>
      </c>
      <c r="H226" s="94">
        <v>451.25</v>
      </c>
    </row>
    <row r="227" spans="2:8" ht="30" customHeight="1" x14ac:dyDescent="0.25">
      <c r="B227" s="95"/>
      <c r="C227" s="96">
        <v>32</v>
      </c>
      <c r="D227" s="97"/>
      <c r="E227" s="181" t="s">
        <v>11</v>
      </c>
      <c r="F227" s="63">
        <f t="shared" ref="F227:G227" si="29">SUM(F228)</f>
        <v>0</v>
      </c>
      <c r="G227" s="63">
        <f t="shared" si="29"/>
        <v>0</v>
      </c>
      <c r="H227" s="94">
        <v>0</v>
      </c>
    </row>
    <row r="228" spans="2:8" ht="30" customHeight="1" x14ac:dyDescent="0.25">
      <c r="B228" s="95"/>
      <c r="C228" s="96"/>
      <c r="D228" s="184">
        <v>3211</v>
      </c>
      <c r="E228" s="183" t="s">
        <v>33</v>
      </c>
      <c r="F228" s="64">
        <v>0</v>
      </c>
      <c r="G228" s="64">
        <v>0</v>
      </c>
      <c r="H228" s="94">
        <v>0</v>
      </c>
    </row>
    <row r="229" spans="2:8" ht="30" customHeight="1" x14ac:dyDescent="0.25">
      <c r="B229" s="77"/>
      <c r="C229" s="78">
        <v>42</v>
      </c>
      <c r="D229" s="79"/>
      <c r="E229" s="79" t="s">
        <v>111</v>
      </c>
      <c r="F229" s="64">
        <f>SUM(F230:F231)</f>
        <v>0</v>
      </c>
      <c r="G229" s="64">
        <f>SUM(G230:G231)</f>
        <v>451.25</v>
      </c>
      <c r="H229" s="94">
        <v>451.25</v>
      </c>
    </row>
    <row r="230" spans="2:8" ht="30" customHeight="1" x14ac:dyDescent="0.25">
      <c r="B230" s="80"/>
      <c r="C230" s="81"/>
      <c r="D230" s="82">
        <v>4227</v>
      </c>
      <c r="E230" s="37" t="s">
        <v>112</v>
      </c>
      <c r="F230" s="60">
        <v>0</v>
      </c>
      <c r="G230" s="60">
        <v>451.25</v>
      </c>
      <c r="H230" s="93">
        <v>451.25</v>
      </c>
    </row>
    <row r="231" spans="2:8" ht="30" customHeight="1" x14ac:dyDescent="0.25">
      <c r="B231" s="177"/>
      <c r="C231" s="178"/>
      <c r="D231" s="179">
        <v>4221</v>
      </c>
      <c r="E231" s="83" t="s">
        <v>131</v>
      </c>
      <c r="F231" s="60">
        <v>0</v>
      </c>
      <c r="G231" s="60">
        <v>0</v>
      </c>
      <c r="H231" s="93">
        <v>0</v>
      </c>
    </row>
    <row r="232" spans="2:8" ht="30" customHeight="1" x14ac:dyDescent="0.25">
      <c r="B232" s="77">
        <v>51</v>
      </c>
      <c r="C232" s="78"/>
      <c r="D232" s="79"/>
      <c r="E232" s="79" t="s">
        <v>65</v>
      </c>
      <c r="F232" s="64">
        <f>F233</f>
        <v>0</v>
      </c>
      <c r="G232" s="64">
        <f>G233</f>
        <v>0</v>
      </c>
      <c r="H232" s="93">
        <v>0</v>
      </c>
    </row>
    <row r="233" spans="2:8" ht="30" customHeight="1" x14ac:dyDescent="0.25">
      <c r="B233" s="80"/>
      <c r="C233" s="78">
        <v>32</v>
      </c>
      <c r="D233" s="79"/>
      <c r="E233" s="79" t="s">
        <v>11</v>
      </c>
      <c r="F233" s="64">
        <f>SUM(F234:F237)</f>
        <v>0</v>
      </c>
      <c r="G233" s="64">
        <f>SUM(G234:G237)</f>
        <v>0</v>
      </c>
      <c r="H233" s="93">
        <v>0</v>
      </c>
    </row>
    <row r="234" spans="2:8" ht="30" customHeight="1" x14ac:dyDescent="0.25">
      <c r="B234" s="182"/>
      <c r="C234" s="180"/>
      <c r="D234" s="183">
        <v>3211</v>
      </c>
      <c r="E234" s="183" t="s">
        <v>33</v>
      </c>
      <c r="F234" s="64">
        <v>0</v>
      </c>
      <c r="G234" s="64">
        <v>0</v>
      </c>
      <c r="H234" s="93">
        <v>0</v>
      </c>
    </row>
    <row r="235" spans="2:8" ht="30" customHeight="1" x14ac:dyDescent="0.25">
      <c r="B235" s="182"/>
      <c r="C235" s="180"/>
      <c r="D235" s="183">
        <v>3214</v>
      </c>
      <c r="E235" s="183" t="s">
        <v>231</v>
      </c>
      <c r="F235" s="64">
        <v>0</v>
      </c>
      <c r="G235" s="64">
        <v>0</v>
      </c>
      <c r="H235" s="93">
        <v>0</v>
      </c>
    </row>
    <row r="236" spans="2:8" ht="30" customHeight="1" x14ac:dyDescent="0.25">
      <c r="B236" s="80"/>
      <c r="C236" s="81"/>
      <c r="D236" s="82">
        <v>3221</v>
      </c>
      <c r="E236" s="82" t="s">
        <v>78</v>
      </c>
      <c r="F236" s="60">
        <v>0</v>
      </c>
      <c r="G236" s="60">
        <v>0</v>
      </c>
      <c r="H236" s="93">
        <v>0</v>
      </c>
    </row>
    <row r="237" spans="2:8" ht="30" customHeight="1" x14ac:dyDescent="0.25">
      <c r="B237" s="80"/>
      <c r="C237" s="81"/>
      <c r="D237" s="82">
        <v>3234</v>
      </c>
      <c r="E237" s="82" t="s">
        <v>87</v>
      </c>
      <c r="F237" s="60">
        <v>0</v>
      </c>
      <c r="G237" s="60">
        <v>0</v>
      </c>
      <c r="H237" s="93">
        <v>0</v>
      </c>
    </row>
    <row r="238" spans="2:8" ht="30" customHeight="1" x14ac:dyDescent="0.25">
      <c r="B238" s="77">
        <v>54</v>
      </c>
      <c r="C238" s="78"/>
      <c r="D238" s="79"/>
      <c r="E238" s="79" t="s">
        <v>67</v>
      </c>
      <c r="F238" s="64">
        <f>F239</f>
        <v>0</v>
      </c>
      <c r="G238" s="64">
        <f>G239</f>
        <v>0</v>
      </c>
      <c r="H238" s="93">
        <v>0</v>
      </c>
    </row>
    <row r="239" spans="2:8" ht="30" customHeight="1" x14ac:dyDescent="0.25">
      <c r="B239" s="80"/>
      <c r="C239" s="78">
        <v>32</v>
      </c>
      <c r="D239" s="79"/>
      <c r="E239" s="79" t="s">
        <v>11</v>
      </c>
      <c r="F239" s="64">
        <f>SUM(F240:F243)</f>
        <v>0</v>
      </c>
      <c r="G239" s="64">
        <f>G242+G243</f>
        <v>0</v>
      </c>
      <c r="H239" s="93">
        <v>0</v>
      </c>
    </row>
    <row r="240" spans="2:8" ht="30" customHeight="1" x14ac:dyDescent="0.25">
      <c r="B240" s="182"/>
      <c r="C240" s="180"/>
      <c r="D240" s="183">
        <v>3211</v>
      </c>
      <c r="E240" s="183" t="s">
        <v>33</v>
      </c>
      <c r="F240" s="64">
        <v>0</v>
      </c>
      <c r="G240" s="64">
        <v>0</v>
      </c>
      <c r="H240" s="93">
        <v>0</v>
      </c>
    </row>
    <row r="241" spans="2:8" ht="30" customHeight="1" x14ac:dyDescent="0.25">
      <c r="B241" s="182"/>
      <c r="C241" s="180"/>
      <c r="D241" s="183">
        <v>3214</v>
      </c>
      <c r="E241" s="183" t="s">
        <v>231</v>
      </c>
      <c r="F241" s="64">
        <v>0</v>
      </c>
      <c r="G241" s="64">
        <v>0</v>
      </c>
      <c r="H241" s="93">
        <v>0</v>
      </c>
    </row>
    <row r="242" spans="2:8" ht="30" customHeight="1" x14ac:dyDescent="0.25">
      <c r="B242" s="80"/>
      <c r="C242" s="81"/>
      <c r="D242" s="82">
        <v>3221</v>
      </c>
      <c r="E242" s="82" t="s">
        <v>78</v>
      </c>
      <c r="F242" s="60"/>
      <c r="G242" s="60">
        <v>0</v>
      </c>
      <c r="H242" s="93">
        <v>0</v>
      </c>
    </row>
    <row r="243" spans="2:8" ht="30" customHeight="1" x14ac:dyDescent="0.25">
      <c r="B243" s="80"/>
      <c r="C243" s="81"/>
      <c r="D243" s="82">
        <v>3234</v>
      </c>
      <c r="E243" s="82" t="s">
        <v>87</v>
      </c>
      <c r="F243" s="60"/>
      <c r="G243" s="60">
        <v>0</v>
      </c>
      <c r="H243" s="93">
        <v>0</v>
      </c>
    </row>
    <row r="244" spans="2:8" ht="35.25" customHeight="1" x14ac:dyDescent="0.25">
      <c r="B244" s="250" t="s">
        <v>150</v>
      </c>
      <c r="C244" s="250"/>
      <c r="D244" s="250"/>
      <c r="E244" s="250"/>
      <c r="F244" s="103">
        <v>2146647.13</v>
      </c>
      <c r="G244" s="103">
        <v>2310822.41</v>
      </c>
      <c r="H244" s="103">
        <v>102.08</v>
      </c>
    </row>
  </sheetData>
  <mergeCells count="23">
    <mergeCell ref="B225:D225"/>
    <mergeCell ref="B7:E7"/>
    <mergeCell ref="B191:D191"/>
    <mergeCell ref="B195:D195"/>
    <mergeCell ref="B199:D199"/>
    <mergeCell ref="B206:D206"/>
    <mergeCell ref="B210:D210"/>
    <mergeCell ref="B244:E244"/>
    <mergeCell ref="B92:D92"/>
    <mergeCell ref="B99:D99"/>
    <mergeCell ref="B2:H2"/>
    <mergeCell ref="B8:D8"/>
    <mergeCell ref="B12:D12"/>
    <mergeCell ref="B22:D22"/>
    <mergeCell ref="B11:D11"/>
    <mergeCell ref="B10:D10"/>
    <mergeCell ref="B53:D53"/>
    <mergeCell ref="B78:D78"/>
    <mergeCell ref="B89:D89"/>
    <mergeCell ref="B67:D67"/>
    <mergeCell ref="B4:H4"/>
    <mergeCell ref="B6:E6"/>
    <mergeCell ref="B217:D217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rowBreaks count="2" manualBreakCount="2">
    <brk id="58" min="1" max="8" man="1"/>
    <brk id="220" min="1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C367-6341-4F72-8619-52EE89D332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</vt:lpstr>
      <vt:lpstr>Račun financiranja</vt:lpstr>
      <vt:lpstr> Račun prihoda i rashoda ekonom</vt:lpstr>
      <vt:lpstr>Rashodi prema izvorima finan</vt:lpstr>
      <vt:lpstr>Rashodi prema funkcijskoj k </vt:lpstr>
      <vt:lpstr>POSEBNI DIO</vt:lpstr>
      <vt:lpstr>List1</vt:lpstr>
      <vt:lpstr>'POSEBNI DIO'!Ispis_naslova</vt:lpstr>
      <vt:lpstr>' Račun prihoda i rashoda ekonom'!Podrucje_ispisa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Srednja Škola Biograd na Moru</cp:lastModifiedBy>
  <cp:lastPrinted>2026-03-31T06:44:24Z</cp:lastPrinted>
  <dcterms:created xsi:type="dcterms:W3CDTF">2022-08-12T12:51:27Z</dcterms:created>
  <dcterms:modified xsi:type="dcterms:W3CDTF">2026-04-16T07:36:32Z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